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5.xml" ContentType="application/vnd.openxmlformats-officedocument.drawing+xml"/>
  <Override PartName="/xl/pivotTables/pivotTable14.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1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charts/chart12.xml" ContentType="application/vnd.openxmlformats-officedocument.drawingml.chart+xml"/>
  <Override PartName="/xl/theme/themeOverride11.xml" ContentType="application/vnd.openxmlformats-officedocument.themeOverride+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13.xml" ContentType="application/vnd.openxmlformats-officedocument.themeOverride+xml"/>
  <Override PartName="/xl/charts/chart16.xml" ContentType="application/vnd.openxmlformats-officedocument.drawingml.chart+xml"/>
  <Override PartName="/xl/theme/themeOverride14.xml" ContentType="application/vnd.openxmlformats-officedocument.themeOverride+xml"/>
  <Override PartName="/xl/charts/chart17.xml" ContentType="application/vnd.openxmlformats-officedocument.drawingml.chart+xml"/>
  <Override PartName="/xl/theme/themeOverride15.xml" ContentType="application/vnd.openxmlformats-officedocument.themeOverride+xml"/>
  <Override PartName="/xl/charts/chart18.xml" ContentType="application/vnd.openxmlformats-officedocument.drawingml.chart+xml"/>
  <Override PartName="/xl/theme/themeOverride16.xml" ContentType="application/vnd.openxmlformats-officedocument.themeOverride+xml"/>
  <Override PartName="/xl/charts/chart19.xml" ContentType="application/vnd.openxmlformats-officedocument.drawingml.chart+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charts/chart21.xml" ContentType="application/vnd.openxmlformats-officedocument.drawingml.chart+xml"/>
  <Override PartName="/xl/theme/themeOverride19.xml" ContentType="application/vnd.openxmlformats-officedocument.themeOverride+xml"/>
  <Override PartName="/xl/charts/chart22.xml" ContentType="application/vnd.openxmlformats-officedocument.drawingml.chart+xml"/>
  <Override PartName="/xl/theme/themeOverride20.xml" ContentType="application/vnd.openxmlformats-officedocument.themeOverrid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drawings/drawing12.xml" ContentType="application/vnd.openxmlformats-officedocument.drawing+xml"/>
  <Override PartName="/xl/slicers/slicer2.xml" ContentType="application/vnd.ms-excel.slicer+xml"/>
  <Override PartName="/xl/charts/chart23.xml" ContentType="application/vnd.openxmlformats-officedocument.drawingml.chart+xml"/>
  <Override PartName="/xl/theme/themeOverride21.xml" ContentType="application/vnd.openxmlformats-officedocument.themeOverride+xml"/>
  <Override PartName="/xl/charts/chart24.xml" ContentType="application/vnd.openxmlformats-officedocument.drawingml.chart+xml"/>
  <Override PartName="/xl/theme/themeOverride22.xml" ContentType="application/vnd.openxmlformats-officedocument.themeOverride+xml"/>
  <Override PartName="/xl/charts/chart25.xml" ContentType="application/vnd.openxmlformats-officedocument.drawingml.chart+xml"/>
  <Override PartName="/xl/theme/themeOverride23.xml" ContentType="application/vnd.openxmlformats-officedocument.themeOverride+xml"/>
  <Override PartName="/xl/charts/chart26.xml" ContentType="application/vnd.openxmlformats-officedocument.drawingml.chart+xml"/>
  <Override PartName="/xl/theme/themeOverride24.xml" ContentType="application/vnd.openxmlformats-officedocument.themeOverride+xml"/>
  <Override PartName="/xl/charts/chart27.xml" ContentType="application/vnd.openxmlformats-officedocument.drawingml.chart+xml"/>
  <Override PartName="/xl/theme/themeOverride25.xml" ContentType="application/vnd.openxmlformats-officedocument.themeOverride+xml"/>
  <Override PartName="/xl/charts/chart28.xml" ContentType="application/vnd.openxmlformats-officedocument.drawingml.chart+xml"/>
  <Override PartName="/xl/theme/themeOverride26.xml" ContentType="application/vnd.openxmlformats-officedocument.themeOverride+xml"/>
  <Override PartName="/xl/charts/chart29.xml" ContentType="application/vnd.openxmlformats-officedocument.drawingml.chart+xml"/>
  <Override PartName="/xl/theme/themeOverride27.xml" ContentType="application/vnd.openxmlformats-officedocument.themeOverride+xml"/>
  <Override PartName="/xl/charts/chart30.xml" ContentType="application/vnd.openxmlformats-officedocument.drawingml.chart+xml"/>
  <Override PartName="/xl/theme/themeOverride28.xml" ContentType="application/vnd.openxmlformats-officedocument.themeOverride+xml"/>
  <Override PartName="/xl/charts/chart31.xml" ContentType="application/vnd.openxmlformats-officedocument.drawingml.chart+xml"/>
  <Override PartName="/xl/theme/themeOverride29.xml" ContentType="application/vnd.openxmlformats-officedocument.themeOverride+xml"/>
  <Override PartName="/xl/charts/chart32.xml" ContentType="application/vnd.openxmlformats-officedocument.drawingml.chart+xml"/>
  <Override PartName="/xl/theme/themeOverride30.xml" ContentType="application/vnd.openxmlformats-officedocument.themeOverride+xml"/>
  <Override PartName="/xl/charts/chart33.xml" ContentType="application/vnd.openxmlformats-officedocument.drawingml.chart+xml"/>
  <Override PartName="/xl/theme/themeOverride31.xml" ContentType="application/vnd.openxmlformats-officedocument.themeOverride+xml"/>
  <Override PartName="/xl/charts/chart34.xml" ContentType="application/vnd.openxmlformats-officedocument.drawingml.chart+xml"/>
  <Override PartName="/xl/theme/themeOverride32.xml" ContentType="application/vnd.openxmlformats-officedocument.themeOverride+xml"/>
  <Override PartName="/xl/charts/chart35.xml" ContentType="application/vnd.openxmlformats-officedocument.drawingml.chart+xml"/>
  <Override PartName="/xl/theme/themeOverride33.xml" ContentType="application/vnd.openxmlformats-officedocument.themeOverride+xml"/>
  <Override PartName="/xl/charts/chart36.xml" ContentType="application/vnd.openxmlformats-officedocument.drawingml.chart+xml"/>
  <Override PartName="/xl/theme/themeOverride34.xml" ContentType="application/vnd.openxmlformats-officedocument.themeOverride+xml"/>
  <Override PartName="/xl/charts/chart37.xml" ContentType="application/vnd.openxmlformats-officedocument.drawingml.chart+xml"/>
  <Override PartName="/xl/charts/chart38.xml" ContentType="application/vnd.openxmlformats-officedocument.drawingml.chart+xml"/>
  <Override PartName="/xl/theme/themeOverride35.xml" ContentType="application/vnd.openxmlformats-officedocument.themeOverride+xml"/>
  <Override PartName="/xl/charts/chart39.xml" ContentType="application/vnd.openxmlformats-officedocument.drawingml.chart+xml"/>
  <Override PartName="/xl/theme/themeOverride36.xml" ContentType="application/vnd.openxmlformats-officedocument.themeOverride+xml"/>
  <Override PartName="/xl/charts/chart4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drawings/drawing13.xml" ContentType="application/vnd.openxmlformats-officedocument.drawing+xml"/>
  <Override PartName="/xl/slicers/slicer3.xml" ContentType="application/vnd.ms-excel.slicer+xml"/>
  <Override PartName="/xl/charts/chart41.xml" ContentType="application/vnd.openxmlformats-officedocument.drawingml.chart+xml"/>
  <Override PartName="/xl/theme/themeOverride37.xml" ContentType="application/vnd.openxmlformats-officedocument.themeOverride+xml"/>
  <Override PartName="/xl/charts/chart42.xml" ContentType="application/vnd.openxmlformats-officedocument.drawingml.chart+xml"/>
  <Override PartName="/xl/theme/themeOverride38.xml" ContentType="application/vnd.openxmlformats-officedocument.themeOverride+xml"/>
  <Override PartName="/xl/charts/chart43.xml" ContentType="application/vnd.openxmlformats-officedocument.drawingml.chart+xml"/>
  <Override PartName="/xl/theme/themeOverride39.xml" ContentType="application/vnd.openxmlformats-officedocument.themeOverride+xml"/>
  <Override PartName="/xl/charts/chart44.xml" ContentType="application/vnd.openxmlformats-officedocument.drawingml.chart+xml"/>
  <Override PartName="/xl/theme/themeOverride40.xml" ContentType="application/vnd.openxmlformats-officedocument.themeOverride+xml"/>
  <Override PartName="/xl/charts/chart45.xml" ContentType="application/vnd.openxmlformats-officedocument.drawingml.chart+xml"/>
  <Override PartName="/xl/theme/themeOverride41.xml" ContentType="application/vnd.openxmlformats-officedocument.themeOverride+xml"/>
  <Override PartName="/xl/charts/chart46.xml" ContentType="application/vnd.openxmlformats-officedocument.drawingml.chart+xml"/>
  <Override PartName="/xl/theme/themeOverride42.xml" ContentType="application/vnd.openxmlformats-officedocument.themeOverride+xml"/>
  <Override PartName="/xl/charts/chart47.xml" ContentType="application/vnd.openxmlformats-officedocument.drawingml.chart+xml"/>
  <Override PartName="/xl/theme/themeOverride43.xml" ContentType="application/vnd.openxmlformats-officedocument.themeOverride+xml"/>
  <Override PartName="/xl/charts/chart48.xml" ContentType="application/vnd.openxmlformats-officedocument.drawingml.chart+xml"/>
  <Override PartName="/xl/theme/themeOverride44.xml" ContentType="application/vnd.openxmlformats-officedocument.themeOverride+xml"/>
  <Override PartName="/xl/charts/chart49.xml" ContentType="application/vnd.openxmlformats-officedocument.drawingml.chart+xml"/>
  <Override PartName="/xl/theme/themeOverride45.xml" ContentType="application/vnd.openxmlformats-officedocument.themeOverride+xml"/>
  <Override PartName="/xl/charts/chart50.xml" ContentType="application/vnd.openxmlformats-officedocument.drawingml.chart+xml"/>
  <Override PartName="/xl/theme/themeOverride46.xml" ContentType="application/vnd.openxmlformats-officedocument.themeOverride+xml"/>
  <Override PartName="/xl/charts/chart51.xml" ContentType="application/vnd.openxmlformats-officedocument.drawingml.chart+xml"/>
  <Override PartName="/xl/theme/themeOverride47.xml" ContentType="application/vnd.openxmlformats-officedocument.themeOverride+xml"/>
  <Override PartName="/xl/charts/chart52.xml" ContentType="application/vnd.openxmlformats-officedocument.drawingml.chart+xml"/>
  <Override PartName="/xl/theme/themeOverride48.xml" ContentType="application/vnd.openxmlformats-officedocument.themeOverrid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drawings/drawing14.xml" ContentType="application/vnd.openxmlformats-officedocument.drawing+xml"/>
  <Override PartName="/xl/charts/chart53.xml" ContentType="application/vnd.openxmlformats-officedocument.drawingml.chart+xml"/>
  <Override PartName="/xl/charts/style2.xml" ContentType="application/vnd.ms-office.chartstyle+xml"/>
  <Override PartName="/xl/charts/colors2.xml" ContentType="application/vnd.ms-office.chartcolorstyle+xml"/>
  <Override PartName="/xl/charts/chart54.xml" ContentType="application/vnd.openxmlformats-officedocument.drawingml.chart+xml"/>
  <Override PartName="/xl/charts/style3.xml" ContentType="application/vnd.ms-office.chartstyle+xml"/>
  <Override PartName="/xl/charts/colors3.xml" ContentType="application/vnd.ms-office.chartcolorstyle+xml"/>
  <Override PartName="/xl/charts/chart5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codeName="ThisWorkbook" hidePivotFieldList="1" showPivotChartFilter="1"/>
  <mc:AlternateContent xmlns:mc="http://schemas.openxmlformats.org/markup-compatibility/2006">
    <mc:Choice Requires="x15">
      <x15ac:absPath xmlns:x15ac="http://schemas.microsoft.com/office/spreadsheetml/2010/11/ac" url="/Users/JF/Desktop/partage mac pc/Anact développement/Anact Parmentier/"/>
    </mc:Choice>
  </mc:AlternateContent>
  <xr:revisionPtr revIDLastSave="0" documentId="8_{AD1F9972-366E-F349-9D55-D3001F0154A7}" xr6:coauthVersionLast="46" xr6:coauthVersionMax="46" xr10:uidLastSave="{00000000-0000-0000-0000-000000000000}"/>
  <bookViews>
    <workbookView xWindow="2700" yWindow="600" windowWidth="28800" windowHeight="17500" activeTab="2" xr2:uid="{283762DB-321E-1548-A04E-7F8F9A7133B4}"/>
  </bookViews>
  <sheets>
    <sheet name="EN BREF" sheetId="85" r:id="rId1"/>
    <sheet name="SOMMAIRE" sheetId="61" r:id="rId2"/>
    <sheet name="DONNEES" sheetId="1" r:id="rId3"/>
    <sheet name="Paramètres" sheetId="86" r:id="rId4"/>
    <sheet name="INDIC. 1 Ecart Rémunération" sheetId="69" r:id="rId5"/>
    <sheet name="INDIC.2 Ecart Tx Augmentation" sheetId="72" r:id="rId6"/>
    <sheet name="INDIC.3 Ecart Tx Promotion" sheetId="73" r:id="rId7"/>
    <sheet name="INDIC.3 ou 4 A Maternité" sheetId="74" r:id="rId8"/>
    <sheet name="INDIC.4 ou 5 10+ Hautes Rému" sheetId="75" r:id="rId9"/>
    <sheet name="Note INDEX" sheetId="71" r:id="rId10"/>
    <sheet name="MIXITE" sheetId="64" r:id="rId11"/>
    <sheet name="PARCOURS" sheetId="50" r:id="rId12"/>
    <sheet name="CONDITIONS TRAVAIL" sheetId="46" r:id="rId13"/>
    <sheet name="ARTICULATION TEMPS" sheetId="56" r:id="rId14"/>
    <sheet name="PRONOSTIC" sheetId="84" r:id="rId15"/>
    <sheet name="DIAGNOSTIC" sheetId="79" r:id="rId16"/>
    <sheet name="Bilan actions année N-1" sheetId="59" r:id="rId17"/>
    <sheet name="Trame accord ou plan d'actions" sheetId="63" r:id="rId18"/>
  </sheets>
  <definedNames>
    <definedName name="_xlnm._FilterDatabase" localSheetId="2" hidden="1">DONNEES!$A$14:$AG$334</definedName>
    <definedName name="coefbranche">Paramètres!$G$7:$G$11</definedName>
    <definedName name="coefchoisi">'INDIC. 1 Ecart Rémunération'!$I$20</definedName>
    <definedName name="data">OFFSET(DONNEES!$A$14,0,0,COUNTA(DONNEES!$A$14:$A$334),COUNTA(DONNEES!$14:$14))</definedName>
    <definedName name="dref">DONNEES!$A$7</definedName>
    <definedName name="resuindic1">'INDIC. 1 Ecart Rémunération'!$AU$37</definedName>
    <definedName name="Segment_CATEGORIE">#N/A</definedName>
    <definedName name="Segment_CATEGORIE1">#N/A</definedName>
    <definedName name="Segment_COEF_BRANCHE1">#N/A</definedName>
    <definedName name="Segment_DUREE_DU_TRAVAIL">#N/A</definedName>
    <definedName name="Segment_DUREE_DU_TRAVAIL1">#N/A</definedName>
    <definedName name="Segment_DUREE_DU_TRAVAIL2">#N/A</definedName>
    <definedName name="Segment_EMPLOI">#N/A</definedName>
    <definedName name="Segment_EMPLOI1">#N/A</definedName>
    <definedName name="Segment_EMPLOI2">#N/A</definedName>
    <definedName name="Segment_METIER">#N/A</definedName>
    <definedName name="Segment_METIER1">#N/A</definedName>
    <definedName name="Segment_METIER2">#N/A</definedName>
    <definedName name="Segment_NOUVELLE_COTATION_PROPRE1">#N/A</definedName>
    <definedName name="Segment_SERVICE">#N/A</definedName>
    <definedName name="Segment_SERVICE1">#N/A</definedName>
    <definedName name="Segment_Tranche_ancienneté">#N/A</definedName>
    <definedName name="Segment_Tranche_ancienneté1">#N/A</definedName>
    <definedName name="Segment_Tranche_ancienneté2">#N/A</definedName>
    <definedName name="Segment_Tranches_d_âge_Index">#N/A</definedName>
    <definedName name="Segment_Tranches_d_âge_Index1">#N/A</definedName>
    <definedName name="Segment_Tranches_d_âge_Index2">#N/A</definedName>
    <definedName name="Segment_TYPE_DE_CONTRAT1">#N/A</definedName>
    <definedName name="Typecon">Paramètres!$Q$7:$Q$11</definedName>
    <definedName name="ype">Paramètres!$Q$7:$Q$11</definedName>
    <definedName name="_xlnm.Print_Area" localSheetId="16">'Bilan actions année N-1'!$A$1:$G$63</definedName>
    <definedName name="_xlnm.Print_Area" localSheetId="1">SOMMAIRE!$A$1:$Z$55</definedName>
    <definedName name="_xlnm.Print_Area" localSheetId="17">'Trame accord ou plan d''actions'!$A$1:$G$61</definedName>
  </definedNames>
  <calcPr calcId="191029"/>
  <pivotCaches>
    <pivotCache cacheId="163" r:id="rId19"/>
    <pivotCache cacheId="164" r:id="rId20"/>
  </pivotCaches>
  <extLst>
    <ext xmlns:x14="http://schemas.microsoft.com/office/spreadsheetml/2009/9/main" uri="{BBE1A952-AA13-448e-AADC-164F8A28A991}">
      <x14:slicerCaches>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15" i="1" l="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I38" i="79"/>
  <c r="G38" i="79"/>
  <c r="I37" i="79"/>
  <c r="G37" i="79"/>
  <c r="I36" i="79"/>
  <c r="G36" i="79"/>
  <c r="I35" i="79"/>
  <c r="G35" i="79"/>
  <c r="I34" i="79"/>
  <c r="G34" i="79"/>
  <c r="K13" i="73"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J20" i="73"/>
  <c r="L34" i="72"/>
  <c r="O30" i="69"/>
  <c r="P30" i="69" s="1"/>
  <c r="O31" i="69"/>
  <c r="P31" i="69" s="1"/>
  <c r="O32" i="69"/>
  <c r="O33" i="69"/>
  <c r="P33" i="69" s="1"/>
  <c r="O34" i="69"/>
  <c r="O35" i="69"/>
  <c r="O36" i="69"/>
  <c r="O37" i="69"/>
  <c r="P37" i="69" s="1"/>
  <c r="O38" i="69"/>
  <c r="P38" i="69" s="1"/>
  <c r="O39" i="69"/>
  <c r="P39" i="69" s="1"/>
  <c r="O40" i="69"/>
  <c r="P40" i="69" s="1"/>
  <c r="O41" i="69"/>
  <c r="O42" i="69"/>
  <c r="O43" i="69"/>
  <c r="O44" i="69"/>
  <c r="O45" i="69"/>
  <c r="R45" i="69" s="1" a="1"/>
  <c r="R45" i="69" s="1"/>
  <c r="O48" i="69"/>
  <c r="O49" i="69"/>
  <c r="O50" i="69"/>
  <c r="O51" i="69"/>
  <c r="O52" i="69"/>
  <c r="O53" i="69"/>
  <c r="O54" i="69"/>
  <c r="O55" i="69"/>
  <c r="O56" i="69"/>
  <c r="O57" i="69"/>
  <c r="O58" i="69"/>
  <c r="O59" i="69"/>
  <c r="O60" i="69"/>
  <c r="O61" i="69"/>
  <c r="O62" i="69"/>
  <c r="O63" i="69"/>
  <c r="O64" i="69"/>
  <c r="O65" i="69"/>
  <c r="O29" i="69"/>
  <c r="P29" i="69" s="1"/>
  <c r="L20" i="1"/>
  <c r="L43" i="1"/>
  <c r="L94" i="1"/>
  <c r="L133" i="1"/>
  <c r="L15" i="1"/>
  <c r="I23" i="69" s="1"/>
  <c r="N22" i="69" s="1"/>
  <c r="L16" i="1"/>
  <c r="I22" i="69" s="1"/>
  <c r="L17" i="1"/>
  <c r="L18" i="1"/>
  <c r="L19" i="1"/>
  <c r="L21" i="1"/>
  <c r="L22" i="1"/>
  <c r="L23" i="1"/>
  <c r="L24" i="1"/>
  <c r="L25" i="1"/>
  <c r="L26" i="1"/>
  <c r="L27" i="1"/>
  <c r="L28" i="1"/>
  <c r="L29" i="1"/>
  <c r="L30" i="1"/>
  <c r="L31" i="1"/>
  <c r="L32" i="1"/>
  <c r="L33" i="1"/>
  <c r="L34" i="1"/>
  <c r="L35" i="1"/>
  <c r="L36" i="1"/>
  <c r="G30" i="74" s="1"/>
  <c r="L37" i="1"/>
  <c r="L38" i="1"/>
  <c r="L39" i="1"/>
  <c r="L40" i="1"/>
  <c r="L41" i="1"/>
  <c r="L42"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I50" i="79"/>
  <c r="I49" i="79"/>
  <c r="I48" i="79"/>
  <c r="I47" i="79"/>
  <c r="G50" i="79"/>
  <c r="G49" i="79"/>
  <c r="G48" i="79"/>
  <c r="I27" i="79"/>
  <c r="I26" i="79"/>
  <c r="I25" i="79"/>
  <c r="I24" i="79"/>
  <c r="I23" i="79"/>
  <c r="I22" i="79"/>
  <c r="G27" i="79"/>
  <c r="G26" i="79"/>
  <c r="G25" i="79"/>
  <c r="G24" i="79"/>
  <c r="G23" i="79"/>
  <c r="G22" i="79"/>
  <c r="I13" i="79"/>
  <c r="I14" i="79"/>
  <c r="I15" i="79"/>
  <c r="I11" i="79"/>
  <c r="I10" i="79"/>
  <c r="I9" i="79"/>
  <c r="I12" i="79"/>
  <c r="G13" i="79"/>
  <c r="G12" i="79"/>
  <c r="G15" i="79"/>
  <c r="G14" i="79"/>
  <c r="G9" i="79"/>
  <c r="G11" i="79"/>
  <c r="G10" i="79"/>
  <c r="C43" i="71"/>
  <c r="C44" i="71" s="1"/>
  <c r="C45" i="71" s="1"/>
  <c r="C46" i="71" s="1"/>
  <c r="C47" i="71" s="1"/>
  <c r="C48" i="71" s="1"/>
  <c r="C49" i="71" s="1"/>
  <c r="C50" i="71" s="1"/>
  <c r="C51" i="71" s="1"/>
  <c r="C52" i="71" s="1"/>
  <c r="C53" i="71" s="1"/>
  <c r="C54" i="71" s="1"/>
  <c r="C55" i="71" s="1"/>
  <c r="C56" i="71" s="1"/>
  <c r="C57" i="71" s="1"/>
  <c r="C58" i="71" s="1"/>
  <c r="C59" i="71" s="1"/>
  <c r="C60" i="71" s="1"/>
  <c r="C61" i="71" s="1"/>
  <c r="C62" i="71" s="1"/>
  <c r="C70" i="71"/>
  <c r="C71" i="71"/>
  <c r="C72" i="71"/>
  <c r="C73" i="71"/>
  <c r="C74" i="71" s="1"/>
  <c r="C75" i="71" s="1"/>
  <c r="C76" i="71" s="1"/>
  <c r="C77" i="71" s="1"/>
  <c r="C78" i="71" s="1"/>
  <c r="C79" i="71" s="1"/>
  <c r="C80" i="71" s="1"/>
  <c r="C81" i="71" s="1"/>
  <c r="C82" i="71" s="1"/>
  <c r="C83" i="71" s="1"/>
  <c r="C84" i="71" s="1"/>
  <c r="C85" i="71" s="1"/>
  <c r="C86" i="71" s="1"/>
  <c r="C87" i="71" s="1"/>
  <c r="C88" i="71" s="1"/>
  <c r="C89" i="71" s="1"/>
  <c r="M29" i="69"/>
  <c r="N29" i="69" s="1"/>
  <c r="Q30" i="69"/>
  <c r="Q31" i="69" s="1"/>
  <c r="Q42" i="69"/>
  <c r="Q43" i="69"/>
  <c r="Q44" i="69"/>
  <c r="Q45" i="69"/>
  <c r="Q48" i="69"/>
  <c r="Q49" i="69"/>
  <c r="Q50" i="69"/>
  <c r="Q51" i="69"/>
  <c r="Q52" i="69"/>
  <c r="Q53" i="69"/>
  <c r="Q54" i="69"/>
  <c r="Q55" i="69"/>
  <c r="Q56" i="69"/>
  <c r="Q57" i="69"/>
  <c r="Q58" i="69"/>
  <c r="Q59" i="69"/>
  <c r="Q60" i="69"/>
  <c r="Q61" i="69"/>
  <c r="Q62" i="69"/>
  <c r="Q63" i="69"/>
  <c r="Q64" i="69"/>
  <c r="Q65" i="69"/>
  <c r="P32" i="69"/>
  <c r="P34" i="69"/>
  <c r="P35" i="69"/>
  <c r="P36" i="69"/>
  <c r="P42" i="69"/>
  <c r="P43" i="69"/>
  <c r="P44" i="69"/>
  <c r="P45" i="69"/>
  <c r="P48" i="69"/>
  <c r="P49" i="69"/>
  <c r="P50" i="69"/>
  <c r="P51" i="69"/>
  <c r="P52" i="69"/>
  <c r="P53" i="69"/>
  <c r="P54" i="69"/>
  <c r="P55" i="69"/>
  <c r="P56" i="69"/>
  <c r="P57" i="69"/>
  <c r="P58" i="69"/>
  <c r="P59" i="69"/>
  <c r="P60" i="69"/>
  <c r="P61" i="69"/>
  <c r="P62" i="69"/>
  <c r="P63" i="69"/>
  <c r="P64" i="69"/>
  <c r="P65" i="69"/>
  <c r="M30" i="69"/>
  <c r="N30" i="69" s="1"/>
  <c r="M31" i="69"/>
  <c r="N31" i="69" s="1"/>
  <c r="M32" i="69"/>
  <c r="N32" i="69" s="1"/>
  <c r="M33" i="69"/>
  <c r="N33" i="69" s="1"/>
  <c r="M34" i="69"/>
  <c r="N34" i="69" s="1"/>
  <c r="M35" i="69"/>
  <c r="N35" i="69" s="1"/>
  <c r="M36" i="69"/>
  <c r="N36" i="69" s="1"/>
  <c r="M37" i="69"/>
  <c r="N37" i="69" s="1"/>
  <c r="M38" i="69"/>
  <c r="N38" i="69" s="1"/>
  <c r="M39" i="69"/>
  <c r="N39" i="69" s="1"/>
  <c r="M40" i="69"/>
  <c r="N40" i="69" s="1"/>
  <c r="M41" i="69"/>
  <c r="N41" i="69" s="1"/>
  <c r="M42" i="69"/>
  <c r="N42" i="69"/>
  <c r="R42" i="69" a="1"/>
  <c r="R42" i="69" s="1"/>
  <c r="M43" i="69"/>
  <c r="N43" i="69" s="1"/>
  <c r="R43" i="69" a="1"/>
  <c r="R43" i="69" s="1"/>
  <c r="M44" i="69"/>
  <c r="N44" i="69"/>
  <c r="R44" i="69" a="1"/>
  <c r="R44" i="69" s="1"/>
  <c r="M45" i="69"/>
  <c r="N45" i="69"/>
  <c r="M48" i="69"/>
  <c r="N48" i="69"/>
  <c r="R48" i="69" a="1"/>
  <c r="R48" i="69" s="1"/>
  <c r="R49" i="69" a="1"/>
  <c r="R49" i="69" s="1"/>
  <c r="L17" i="72"/>
  <c r="P17" i="72" s="1"/>
  <c r="N17" i="72"/>
  <c r="K17" i="72"/>
  <c r="M49" i="69"/>
  <c r="N49" i="69" s="1"/>
  <c r="M50" i="69"/>
  <c r="N50" i="69" s="1"/>
  <c r="R50" i="69" a="1"/>
  <c r="R50" i="69" s="1"/>
  <c r="M51" i="69"/>
  <c r="N51" i="69"/>
  <c r="R51" i="69" a="1"/>
  <c r="R51" i="69" s="1"/>
  <c r="M52" i="69"/>
  <c r="N52" i="69"/>
  <c r="R52" i="69" a="1"/>
  <c r="R52" i="69" s="1"/>
  <c r="M53" i="69"/>
  <c r="N53" i="69"/>
  <c r="R53" i="69" a="1"/>
  <c r="R53" i="69" s="1"/>
  <c r="M54" i="69"/>
  <c r="N54" i="69"/>
  <c r="R54" i="69" a="1"/>
  <c r="R54" i="69" s="1"/>
  <c r="M55" i="69"/>
  <c r="N55" i="69" s="1"/>
  <c r="R55" i="69" a="1"/>
  <c r="R55" i="69" s="1"/>
  <c r="M56" i="69"/>
  <c r="N56" i="69" s="1"/>
  <c r="R56" i="69" a="1"/>
  <c r="R56" i="69" s="1"/>
  <c r="M57" i="69"/>
  <c r="N57" i="69" s="1"/>
  <c r="R57" i="69" a="1"/>
  <c r="R57" i="69" s="1"/>
  <c r="M58" i="69"/>
  <c r="N58" i="69" s="1"/>
  <c r="R58" i="69" a="1"/>
  <c r="R58" i="69" s="1"/>
  <c r="M59" i="69"/>
  <c r="N59" i="69" s="1"/>
  <c r="R59" i="69" a="1"/>
  <c r="R59" i="69" s="1"/>
  <c r="M60" i="69"/>
  <c r="N60" i="69" s="1"/>
  <c r="R60" i="69" a="1"/>
  <c r="R60" i="69" s="1"/>
  <c r="M61" i="69"/>
  <c r="N61" i="69"/>
  <c r="R61" i="69" a="1"/>
  <c r="R61" i="69" s="1"/>
  <c r="M62" i="69"/>
  <c r="N62" i="69" s="1"/>
  <c r="R62" i="69" a="1"/>
  <c r="R62" i="69" s="1"/>
  <c r="M63" i="69"/>
  <c r="N63" i="69" s="1"/>
  <c r="R63" i="69" a="1"/>
  <c r="R63" i="69" s="1"/>
  <c r="M64" i="69"/>
  <c r="N64" i="69" s="1"/>
  <c r="R64" i="69" a="1"/>
  <c r="R64" i="69" s="1"/>
  <c r="M65" i="69"/>
  <c r="N65" i="69" s="1"/>
  <c r="R65" i="69" a="1"/>
  <c r="R65" i="69" s="1"/>
  <c r="AS14" i="1"/>
  <c r="AB15" i="1"/>
  <c r="AD15" i="1" s="1"/>
  <c r="AB18" i="1"/>
  <c r="AD18" i="1"/>
  <c r="AB19" i="1"/>
  <c r="AD19" i="1"/>
  <c r="AB20" i="1"/>
  <c r="AD20" i="1" s="1"/>
  <c r="AB16" i="1"/>
  <c r="AD16" i="1"/>
  <c r="AB17" i="1"/>
  <c r="AD17" i="1" s="1"/>
  <c r="AB21" i="1"/>
  <c r="AD21" i="1"/>
  <c r="AB22" i="1"/>
  <c r="AD22" i="1" s="1"/>
  <c r="AB23" i="1"/>
  <c r="AD23" i="1" s="1"/>
  <c r="AB24" i="1"/>
  <c r="AD24" i="1" s="1"/>
  <c r="AB25" i="1"/>
  <c r="AD25" i="1"/>
  <c r="AB26" i="1"/>
  <c r="AD26" i="1" s="1"/>
  <c r="AB27" i="1"/>
  <c r="AD27" i="1"/>
  <c r="AB28" i="1"/>
  <c r="AD28" i="1"/>
  <c r="AB29" i="1"/>
  <c r="AD29" i="1" s="1"/>
  <c r="AB30" i="1"/>
  <c r="AD30" i="1" s="1"/>
  <c r="AB31" i="1"/>
  <c r="AD31" i="1"/>
  <c r="AB32" i="1"/>
  <c r="AD32" i="1" s="1"/>
  <c r="AB33" i="1"/>
  <c r="AD33" i="1" s="1"/>
  <c r="AB34" i="1"/>
  <c r="AD34" i="1" s="1"/>
  <c r="AB35" i="1"/>
  <c r="AD35" i="1"/>
  <c r="AB36" i="1"/>
  <c r="AD36" i="1"/>
  <c r="AB37" i="1"/>
  <c r="AD37" i="1"/>
  <c r="AB38" i="1"/>
  <c r="AD38" i="1" s="1"/>
  <c r="AB39" i="1"/>
  <c r="AD39" i="1"/>
  <c r="AB40" i="1"/>
  <c r="AD40" i="1"/>
  <c r="AB41" i="1"/>
  <c r="AD41" i="1" s="1"/>
  <c r="AB42" i="1"/>
  <c r="AD42" i="1" s="1"/>
  <c r="AB43" i="1"/>
  <c r="AD43" i="1" s="1"/>
  <c r="AB44" i="1"/>
  <c r="AD44" i="1"/>
  <c r="AB45" i="1"/>
  <c r="AD45" i="1"/>
  <c r="AB46" i="1"/>
  <c r="AD46" i="1" s="1"/>
  <c r="AB47" i="1"/>
  <c r="AD47" i="1" s="1"/>
  <c r="AB48" i="1"/>
  <c r="AD48" i="1"/>
  <c r="AB49" i="1"/>
  <c r="AD49" i="1"/>
  <c r="AB50" i="1"/>
  <c r="AD50" i="1" s="1"/>
  <c r="AB51" i="1"/>
  <c r="AD51" i="1"/>
  <c r="AB52" i="1"/>
  <c r="AD52" i="1" s="1"/>
  <c r="AB53" i="1"/>
  <c r="AD53" i="1"/>
  <c r="AB54" i="1"/>
  <c r="AD54" i="1" s="1"/>
  <c r="AB55" i="1"/>
  <c r="AD55" i="1" s="1"/>
  <c r="AB56" i="1"/>
  <c r="AD56" i="1" s="1"/>
  <c r="AB57" i="1"/>
  <c r="AD57" i="1"/>
  <c r="AB58" i="1"/>
  <c r="AD58" i="1" s="1"/>
  <c r="AB59" i="1"/>
  <c r="AD59" i="1"/>
  <c r="AB60" i="1"/>
  <c r="AD60" i="1"/>
  <c r="AB61" i="1"/>
  <c r="AD61" i="1" s="1"/>
  <c r="AB62" i="1"/>
  <c r="AD62" i="1" s="1"/>
  <c r="AB63" i="1"/>
  <c r="AD63" i="1"/>
  <c r="AB64" i="1"/>
  <c r="AD64" i="1" s="1"/>
  <c r="AB65" i="1"/>
  <c r="AD65" i="1" s="1"/>
  <c r="AB66" i="1"/>
  <c r="AD66" i="1" s="1"/>
  <c r="AB67" i="1"/>
  <c r="AD67" i="1"/>
  <c r="AB68" i="1"/>
  <c r="AD68" i="1"/>
  <c r="AB69" i="1"/>
  <c r="AD69" i="1"/>
  <c r="AB70" i="1"/>
  <c r="AD70" i="1" s="1"/>
  <c r="AB71" i="1"/>
  <c r="AD71" i="1"/>
  <c r="AB72" i="1"/>
  <c r="AD72" i="1"/>
  <c r="AB73" i="1"/>
  <c r="AD73" i="1" s="1"/>
  <c r="AB74" i="1"/>
  <c r="AD74" i="1" s="1"/>
  <c r="AB75" i="1"/>
  <c r="AD75" i="1" s="1"/>
  <c r="AB76" i="1"/>
  <c r="AD76" i="1"/>
  <c r="AB77" i="1"/>
  <c r="AD77" i="1"/>
  <c r="AB78" i="1"/>
  <c r="AD78" i="1" s="1"/>
  <c r="AB79" i="1"/>
  <c r="AD79" i="1" s="1"/>
  <c r="AB80" i="1"/>
  <c r="AD80" i="1"/>
  <c r="AB81" i="1"/>
  <c r="AD81" i="1"/>
  <c r="AB82" i="1"/>
  <c r="AD82" i="1" s="1"/>
  <c r="AB83" i="1"/>
  <c r="AD83" i="1" s="1"/>
  <c r="AB84" i="1"/>
  <c r="AD84" i="1" s="1"/>
  <c r="AB85" i="1"/>
  <c r="AD85" i="1"/>
  <c r="AB86" i="1"/>
  <c r="AD86" i="1" s="1"/>
  <c r="AB87" i="1"/>
  <c r="AD87" i="1" s="1"/>
  <c r="AB88" i="1"/>
  <c r="AD88" i="1" s="1"/>
  <c r="AB89" i="1"/>
  <c r="AD89" i="1"/>
  <c r="AB90" i="1"/>
  <c r="AD90" i="1" s="1"/>
  <c r="AB91" i="1"/>
  <c r="AD91" i="1"/>
  <c r="AB92" i="1"/>
  <c r="AD92" i="1" s="1"/>
  <c r="AB93" i="1"/>
  <c r="AD93" i="1" s="1"/>
  <c r="AB94" i="1"/>
  <c r="AD94" i="1" s="1"/>
  <c r="AB95" i="1"/>
  <c r="AD95" i="1"/>
  <c r="AB96" i="1"/>
  <c r="AD96" i="1"/>
  <c r="AB97" i="1"/>
  <c r="AD97" i="1" s="1"/>
  <c r="AB98" i="1"/>
  <c r="AD98" i="1" s="1"/>
  <c r="AB99" i="1"/>
  <c r="AD99" i="1"/>
  <c r="AB100" i="1"/>
  <c r="AD100" i="1"/>
  <c r="AB101" i="1"/>
  <c r="AD101" i="1"/>
  <c r="AB102" i="1"/>
  <c r="AD102" i="1" s="1"/>
  <c r="AB103" i="1"/>
  <c r="AD103" i="1"/>
  <c r="AB104" i="1"/>
  <c r="AD104" i="1"/>
  <c r="AB105" i="1"/>
  <c r="AD105" i="1"/>
  <c r="AB106" i="1"/>
  <c r="AD106" i="1" s="1"/>
  <c r="AB107" i="1"/>
  <c r="AD107" i="1" s="1"/>
  <c r="AB108" i="1"/>
  <c r="AD108" i="1"/>
  <c r="AB109" i="1"/>
  <c r="AD109" i="1"/>
  <c r="AB110" i="1"/>
  <c r="AD110" i="1" s="1"/>
  <c r="AB111" i="1"/>
  <c r="AD111" i="1" s="1"/>
  <c r="AB112" i="1"/>
  <c r="AD112" i="1"/>
  <c r="AB113" i="1"/>
  <c r="AD113" i="1"/>
  <c r="AB114" i="1"/>
  <c r="AD114" i="1" s="1"/>
  <c r="AB115" i="1"/>
  <c r="AD115" i="1"/>
  <c r="AB116" i="1"/>
  <c r="AD116" i="1" s="1"/>
  <c r="AB117" i="1"/>
  <c r="AD117" i="1"/>
  <c r="AB118" i="1"/>
  <c r="AD118" i="1" s="1"/>
  <c r="AB119" i="1"/>
  <c r="AD119" i="1" s="1"/>
  <c r="AB120" i="1"/>
  <c r="AD120" i="1" s="1"/>
  <c r="AB121" i="1"/>
  <c r="AD121" i="1"/>
  <c r="AB122" i="1"/>
  <c r="AD122" i="1" s="1"/>
  <c r="AB123" i="1"/>
  <c r="AD123" i="1"/>
  <c r="AB124" i="1"/>
  <c r="AD124" i="1" s="1"/>
  <c r="AB125" i="1"/>
  <c r="AD125" i="1" s="1"/>
  <c r="AB126" i="1"/>
  <c r="AD126" i="1" s="1"/>
  <c r="AB127" i="1"/>
  <c r="AD127" i="1"/>
  <c r="AB128" i="1"/>
  <c r="AD128" i="1" s="1"/>
  <c r="AB129" i="1"/>
  <c r="AD129" i="1" s="1"/>
  <c r="AB130" i="1"/>
  <c r="AD130" i="1" s="1"/>
  <c r="AB131" i="1"/>
  <c r="AD131" i="1"/>
  <c r="AB132" i="1"/>
  <c r="AD132" i="1"/>
  <c r="AB133" i="1"/>
  <c r="AD133" i="1" s="1"/>
  <c r="AB134" i="1"/>
  <c r="AD134" i="1" s="1"/>
  <c r="AB135" i="1"/>
  <c r="AD135" i="1"/>
  <c r="AB136" i="1"/>
  <c r="AD136" i="1"/>
  <c r="AB137" i="1"/>
  <c r="AD137" i="1" s="1"/>
  <c r="AB138" i="1"/>
  <c r="AD138" i="1" s="1"/>
  <c r="AB139" i="1"/>
  <c r="AD139" i="1" s="1"/>
  <c r="AB140" i="1"/>
  <c r="AD140" i="1"/>
  <c r="AB141" i="1"/>
  <c r="AD141" i="1"/>
  <c r="AB142" i="1"/>
  <c r="AD142" i="1" s="1"/>
  <c r="AB143" i="1"/>
  <c r="AD143" i="1" s="1"/>
  <c r="AB144" i="1"/>
  <c r="AD144" i="1"/>
  <c r="AB145" i="1"/>
  <c r="AD145" i="1"/>
  <c r="AB146" i="1"/>
  <c r="AD146" i="1" s="1"/>
  <c r="AB147" i="1"/>
  <c r="AD147" i="1"/>
  <c r="AB148" i="1"/>
  <c r="AD148" i="1" s="1"/>
  <c r="AB149" i="1"/>
  <c r="AD149" i="1"/>
  <c r="AB150" i="1"/>
  <c r="AD150" i="1" s="1"/>
  <c r="AB151" i="1"/>
  <c r="AD151" i="1"/>
  <c r="AB152" i="1"/>
  <c r="AD152" i="1" s="1"/>
  <c r="AB153" i="1"/>
  <c r="AD153" i="1"/>
  <c r="AB154" i="1"/>
  <c r="AD154" i="1" s="1"/>
  <c r="AB155" i="1"/>
  <c r="AD155" i="1"/>
  <c r="AB156" i="1"/>
  <c r="AD156" i="1"/>
  <c r="AB157" i="1"/>
  <c r="AD157" i="1" s="1"/>
  <c r="AB158" i="1"/>
  <c r="AD158" i="1" s="1"/>
  <c r="AB159" i="1"/>
  <c r="AD159" i="1"/>
  <c r="AB160" i="1"/>
  <c r="AD160" i="1" s="1"/>
  <c r="AB161" i="1"/>
  <c r="AD161" i="1" s="1"/>
  <c r="AB162" i="1"/>
  <c r="AD162" i="1" s="1"/>
  <c r="AB163" i="1"/>
  <c r="AD163" i="1"/>
  <c r="AB164" i="1"/>
  <c r="AD164" i="1"/>
  <c r="AB165" i="1"/>
  <c r="AD165" i="1" s="1"/>
  <c r="AB166" i="1"/>
  <c r="AD166" i="1" s="1"/>
  <c r="AB167" i="1"/>
  <c r="AD167" i="1"/>
  <c r="AB168" i="1"/>
  <c r="AD168" i="1"/>
  <c r="AB169" i="1"/>
  <c r="AD169" i="1"/>
  <c r="AB170" i="1"/>
  <c r="AD170" i="1" s="1"/>
  <c r="AB171" i="1"/>
  <c r="AD171" i="1" s="1"/>
  <c r="AB172" i="1"/>
  <c r="AD172" i="1"/>
  <c r="AB173" i="1"/>
  <c r="AD173" i="1"/>
  <c r="AB174" i="1"/>
  <c r="AD174" i="1" s="1"/>
  <c r="AB175" i="1"/>
  <c r="AD175" i="1" s="1"/>
  <c r="AB176" i="1"/>
  <c r="AD176" i="1"/>
  <c r="AB177" i="1"/>
  <c r="AD177" i="1"/>
  <c r="AB178" i="1"/>
  <c r="AD178" i="1" s="1"/>
  <c r="AB179" i="1"/>
  <c r="AD179" i="1" s="1"/>
  <c r="AB180" i="1"/>
  <c r="AD180" i="1" s="1"/>
  <c r="AB181" i="1"/>
  <c r="AD181" i="1"/>
  <c r="AB182" i="1"/>
  <c r="AD182" i="1" s="1"/>
  <c r="AB183" i="1"/>
  <c r="AD183" i="1"/>
  <c r="AB184" i="1"/>
  <c r="AD184" i="1" s="1"/>
  <c r="AB185" i="1"/>
  <c r="AD185" i="1"/>
  <c r="AB186" i="1"/>
  <c r="AD186" i="1" s="1"/>
  <c r="AB187" i="1"/>
  <c r="AD187" i="1"/>
  <c r="AB188" i="1"/>
  <c r="AD188" i="1"/>
  <c r="AB189" i="1"/>
  <c r="AD189" i="1" s="1"/>
  <c r="AB190" i="1"/>
  <c r="AD190" i="1" s="1"/>
  <c r="AB191" i="1"/>
  <c r="AD191" i="1"/>
  <c r="AB192" i="1"/>
  <c r="AD192" i="1" s="1"/>
  <c r="AB193" i="1"/>
  <c r="AD193" i="1" s="1"/>
  <c r="AB194" i="1"/>
  <c r="AD194" i="1" s="1"/>
  <c r="AB195" i="1"/>
  <c r="AD195" i="1"/>
  <c r="AB196" i="1"/>
  <c r="AD196" i="1"/>
  <c r="AB197" i="1"/>
  <c r="AD197" i="1" s="1"/>
  <c r="AB198" i="1"/>
  <c r="AD198" i="1" s="1"/>
  <c r="AB199" i="1"/>
  <c r="AD199" i="1"/>
  <c r="AB200" i="1"/>
  <c r="AD200" i="1"/>
  <c r="AB201" i="1"/>
  <c r="AD201" i="1"/>
  <c r="AB202" i="1"/>
  <c r="AD202" i="1" s="1"/>
  <c r="AB203" i="1"/>
  <c r="AD203" i="1" s="1"/>
  <c r="AB204" i="1"/>
  <c r="AD204" i="1"/>
  <c r="AB205" i="1"/>
  <c r="AD205" i="1"/>
  <c r="AB206" i="1"/>
  <c r="AD206" i="1" s="1"/>
  <c r="AB207" i="1"/>
  <c r="AD207" i="1" s="1"/>
  <c r="AB208" i="1"/>
  <c r="AD208" i="1"/>
  <c r="AB209" i="1"/>
  <c r="AD209" i="1"/>
  <c r="AB210" i="1"/>
  <c r="AD210" i="1" s="1"/>
  <c r="AB211" i="1"/>
  <c r="AD211" i="1" s="1"/>
  <c r="AB212" i="1"/>
  <c r="AD212" i="1" s="1"/>
  <c r="AB213" i="1"/>
  <c r="AD213" i="1"/>
  <c r="AB214" i="1"/>
  <c r="AD214" i="1" s="1"/>
  <c r="AB215" i="1"/>
  <c r="AD215" i="1" s="1"/>
  <c r="AB216" i="1"/>
  <c r="AD216" i="1" s="1"/>
  <c r="AB217" i="1"/>
  <c r="AD217" i="1"/>
  <c r="AB218" i="1"/>
  <c r="AD218" i="1" s="1"/>
  <c r="AB219" i="1"/>
  <c r="AD219" i="1"/>
  <c r="AB220" i="1"/>
  <c r="AD220" i="1" s="1"/>
  <c r="AB221" i="1"/>
  <c r="AD221" i="1" s="1"/>
  <c r="AB222" i="1"/>
  <c r="AD222" i="1" s="1"/>
  <c r="AB223" i="1"/>
  <c r="AD223" i="1"/>
  <c r="AB224" i="1"/>
  <c r="AD224" i="1"/>
  <c r="AB225" i="1"/>
  <c r="AD225" i="1" s="1"/>
  <c r="AB226" i="1"/>
  <c r="AD226" i="1" s="1"/>
  <c r="AB227" i="1"/>
  <c r="AD227" i="1"/>
  <c r="AB228" i="1"/>
  <c r="AD228" i="1"/>
  <c r="AB229" i="1"/>
  <c r="AD229" i="1"/>
  <c r="AB230" i="1"/>
  <c r="AD230" i="1" s="1"/>
  <c r="AB231" i="1"/>
  <c r="AD231" i="1"/>
  <c r="AB232" i="1"/>
  <c r="AD232" i="1"/>
  <c r="AB233" i="1"/>
  <c r="AD233" i="1"/>
  <c r="AB234" i="1"/>
  <c r="AD234" i="1" s="1"/>
  <c r="AB235" i="1"/>
  <c r="AD235" i="1" s="1"/>
  <c r="AB236" i="1"/>
  <c r="AD236" i="1"/>
  <c r="AB237" i="1"/>
  <c r="AD237" i="1"/>
  <c r="AB238" i="1"/>
  <c r="AD238" i="1" s="1"/>
  <c r="AB239" i="1"/>
  <c r="AD239" i="1" s="1"/>
  <c r="AB240" i="1"/>
  <c r="AD240" i="1"/>
  <c r="AB241" i="1"/>
  <c r="AD241" i="1"/>
  <c r="AB242" i="1"/>
  <c r="AD242" i="1" s="1"/>
  <c r="AB243" i="1"/>
  <c r="AD243" i="1" s="1"/>
  <c r="AB244" i="1"/>
  <c r="AD244" i="1" s="1"/>
  <c r="AB245" i="1"/>
  <c r="AD245" i="1"/>
  <c r="AB246" i="1"/>
  <c r="AD246" i="1" s="1"/>
  <c r="AB247" i="1"/>
  <c r="AD247" i="1" s="1"/>
  <c r="AB248" i="1"/>
  <c r="AD248" i="1" s="1"/>
  <c r="AB249" i="1"/>
  <c r="AD249" i="1"/>
  <c r="AB250" i="1"/>
  <c r="AD250" i="1" s="1"/>
  <c r="AB251" i="1"/>
  <c r="AD251" i="1"/>
  <c r="AB252" i="1"/>
  <c r="AD252" i="1" s="1"/>
  <c r="AB253" i="1"/>
  <c r="AD253" i="1" s="1"/>
  <c r="AB254" i="1"/>
  <c r="AD254" i="1" s="1"/>
  <c r="AB255" i="1"/>
  <c r="AD255" i="1"/>
  <c r="AB256" i="1"/>
  <c r="AD256" i="1" s="1"/>
  <c r="AB257" i="1"/>
  <c r="AD257" i="1" s="1"/>
  <c r="AB258" i="1"/>
  <c r="AD258" i="1" s="1"/>
  <c r="AB259" i="1"/>
  <c r="AD259" i="1"/>
  <c r="AB260" i="1"/>
  <c r="AD260" i="1"/>
  <c r="AB261" i="1"/>
  <c r="AD261" i="1" s="1"/>
  <c r="AB262" i="1"/>
  <c r="AD262" i="1" s="1"/>
  <c r="AB263" i="1"/>
  <c r="AD263" i="1"/>
  <c r="AB264" i="1"/>
  <c r="AD264" i="1"/>
  <c r="AB265" i="1"/>
  <c r="AD265" i="1" s="1"/>
  <c r="AB266" i="1"/>
  <c r="AD266" i="1" s="1"/>
  <c r="AB267" i="1"/>
  <c r="AD267" i="1" s="1"/>
  <c r="AB268" i="1"/>
  <c r="AD268" i="1"/>
  <c r="AB269" i="1"/>
  <c r="AD269" i="1"/>
  <c r="AB270" i="1"/>
  <c r="AD270" i="1" s="1"/>
  <c r="AB271" i="1"/>
  <c r="AD271" i="1" s="1"/>
  <c r="AB272" i="1"/>
  <c r="AD272" i="1"/>
  <c r="AB273" i="1"/>
  <c r="AD273" i="1"/>
  <c r="AB274" i="1"/>
  <c r="AD274" i="1" s="1"/>
  <c r="AB275" i="1"/>
  <c r="AD275" i="1"/>
  <c r="AB276" i="1"/>
  <c r="AD276" i="1" s="1"/>
  <c r="AB277" i="1"/>
  <c r="AD277" i="1"/>
  <c r="AB278" i="1"/>
  <c r="AD278" i="1" s="1"/>
  <c r="AB279" i="1"/>
  <c r="AD279" i="1" s="1"/>
  <c r="AB280" i="1"/>
  <c r="AD280" i="1" s="1"/>
  <c r="AB281" i="1"/>
  <c r="AD281" i="1"/>
  <c r="AB282" i="1"/>
  <c r="AD282" i="1" s="1"/>
  <c r="AB283" i="1"/>
  <c r="AD283" i="1"/>
  <c r="AB284" i="1"/>
  <c r="AD284" i="1" s="1"/>
  <c r="AB285" i="1"/>
  <c r="AD285" i="1" s="1"/>
  <c r="AB286" i="1"/>
  <c r="AD286" i="1" s="1"/>
  <c r="AB287" i="1"/>
  <c r="AD287" i="1"/>
  <c r="AB288" i="1"/>
  <c r="AD288" i="1" s="1"/>
  <c r="AB289" i="1"/>
  <c r="AD289" i="1" s="1"/>
  <c r="AB290" i="1"/>
  <c r="AD290" i="1" s="1"/>
  <c r="AB291" i="1"/>
  <c r="AD291" i="1"/>
  <c r="AB292" i="1"/>
  <c r="AD292" i="1"/>
  <c r="AB293" i="1"/>
  <c r="AD293" i="1" s="1"/>
  <c r="AB294" i="1"/>
  <c r="AD294" i="1" s="1"/>
  <c r="AB295" i="1"/>
  <c r="AD295" i="1"/>
  <c r="AB296" i="1"/>
  <c r="AD296" i="1"/>
  <c r="AB297" i="1"/>
  <c r="AD297" i="1"/>
  <c r="AB298" i="1"/>
  <c r="AD298" i="1" s="1"/>
  <c r="AB299" i="1"/>
  <c r="AD299" i="1" s="1"/>
  <c r="AB300" i="1"/>
  <c r="AD300" i="1"/>
  <c r="AB301" i="1"/>
  <c r="AD301" i="1"/>
  <c r="AB302" i="1"/>
  <c r="AD302" i="1" s="1"/>
  <c r="AB303" i="1"/>
  <c r="AD303" i="1" s="1"/>
  <c r="AB304" i="1"/>
  <c r="AD304" i="1"/>
  <c r="AB305" i="1"/>
  <c r="AD305" i="1"/>
  <c r="AB306" i="1"/>
  <c r="AD306" i="1" s="1"/>
  <c r="AB307" i="1"/>
  <c r="AD307" i="1" s="1"/>
  <c r="AB308" i="1"/>
  <c r="AD308" i="1" s="1"/>
  <c r="AB309" i="1"/>
  <c r="AD309" i="1"/>
  <c r="AB310" i="1"/>
  <c r="AD310" i="1" s="1"/>
  <c r="AB311" i="1"/>
  <c r="AD311" i="1"/>
  <c r="AB312" i="1"/>
  <c r="AD312" i="1" s="1"/>
  <c r="AB313" i="1"/>
  <c r="AD313" i="1"/>
  <c r="AB314" i="1"/>
  <c r="AD314" i="1"/>
  <c r="AB315" i="1"/>
  <c r="AD315" i="1"/>
  <c r="AB316" i="1"/>
  <c r="AD316" i="1" s="1"/>
  <c r="AB317" i="1"/>
  <c r="AD317" i="1"/>
  <c r="AB318" i="1"/>
  <c r="AD318" i="1"/>
  <c r="AB319" i="1"/>
  <c r="AD319" i="1" s="1"/>
  <c r="AB320" i="1"/>
  <c r="AD320" i="1" s="1"/>
  <c r="AB321" i="1"/>
  <c r="AD321" i="1"/>
  <c r="AB322" i="1"/>
  <c r="AD322" i="1"/>
  <c r="AB323" i="1"/>
  <c r="AD323" i="1"/>
  <c r="AB324" i="1"/>
  <c r="AD324" i="1" s="1"/>
  <c r="AB325" i="1"/>
  <c r="AD325" i="1"/>
  <c r="AB326" i="1"/>
  <c r="AD326" i="1"/>
  <c r="AB327" i="1"/>
  <c r="AD327" i="1" s="1"/>
  <c r="AB328" i="1"/>
  <c r="AD328" i="1" s="1"/>
  <c r="AB329" i="1"/>
  <c r="AD329" i="1"/>
  <c r="AB330" i="1"/>
  <c r="AD330" i="1"/>
  <c r="AB331" i="1"/>
  <c r="AD331" i="1"/>
  <c r="AB332" i="1"/>
  <c r="AD332" i="1" s="1"/>
  <c r="AB333" i="1"/>
  <c r="AD333" i="1"/>
  <c r="AB334" i="1"/>
  <c r="AD334" i="1"/>
  <c r="G19" i="75"/>
  <c r="F19" i="75"/>
  <c r="G17" i="75"/>
  <c r="F17" i="75"/>
  <c r="F16" i="74"/>
  <c r="G20" i="74" s="1"/>
  <c r="AC77" i="1"/>
  <c r="AC78" i="1"/>
  <c r="AE78" i="1" s="1"/>
  <c r="AC79" i="1"/>
  <c r="AE79" i="1" s="1"/>
  <c r="AC80" i="1"/>
  <c r="AE80" i="1" s="1"/>
  <c r="AC81" i="1"/>
  <c r="AC82" i="1"/>
  <c r="AC83" i="1"/>
  <c r="AC84" i="1"/>
  <c r="AC85" i="1"/>
  <c r="AC86" i="1"/>
  <c r="AE86" i="1" s="1"/>
  <c r="AC87" i="1"/>
  <c r="AE87" i="1" s="1"/>
  <c r="AC88" i="1"/>
  <c r="AE88" i="1" s="1"/>
  <c r="AC89" i="1"/>
  <c r="AC90" i="1"/>
  <c r="AC91" i="1"/>
  <c r="AC92" i="1"/>
  <c r="AC93" i="1"/>
  <c r="AC94" i="1"/>
  <c r="AE94" i="1" s="1"/>
  <c r="AC95" i="1"/>
  <c r="AE95" i="1" s="1"/>
  <c r="AC96" i="1"/>
  <c r="AE96" i="1" s="1"/>
  <c r="AC97" i="1"/>
  <c r="AC98" i="1"/>
  <c r="AC99" i="1"/>
  <c r="AC100" i="1"/>
  <c r="AC101" i="1"/>
  <c r="AC102" i="1"/>
  <c r="AE102" i="1" s="1"/>
  <c r="AC103" i="1"/>
  <c r="AE103" i="1" s="1"/>
  <c r="AC104" i="1"/>
  <c r="AE104" i="1" s="1"/>
  <c r="AC105" i="1"/>
  <c r="AC106" i="1"/>
  <c r="AC107" i="1"/>
  <c r="AC108" i="1"/>
  <c r="AC109" i="1"/>
  <c r="AE109" i="1" s="1"/>
  <c r="AC110" i="1"/>
  <c r="AE110" i="1" s="1"/>
  <c r="AC111" i="1"/>
  <c r="AE111" i="1" s="1"/>
  <c r="AC112" i="1"/>
  <c r="AE112" i="1" s="1"/>
  <c r="AC113" i="1"/>
  <c r="AC114" i="1"/>
  <c r="AC115" i="1"/>
  <c r="AC116" i="1"/>
  <c r="AC117" i="1"/>
  <c r="AC118" i="1"/>
  <c r="AE118" i="1" s="1"/>
  <c r="AC119" i="1"/>
  <c r="AE119" i="1" s="1"/>
  <c r="AC120" i="1"/>
  <c r="AE120" i="1" s="1"/>
  <c r="AC121" i="1"/>
  <c r="AC122" i="1"/>
  <c r="AC123" i="1"/>
  <c r="AC124" i="1"/>
  <c r="AC125" i="1"/>
  <c r="AC126" i="1"/>
  <c r="AE126" i="1" s="1"/>
  <c r="AC127" i="1"/>
  <c r="AE127" i="1" s="1"/>
  <c r="AC128" i="1"/>
  <c r="AE128" i="1" s="1"/>
  <c r="AC129" i="1"/>
  <c r="AC130" i="1"/>
  <c r="AC131" i="1"/>
  <c r="AC132" i="1"/>
  <c r="AC133" i="1"/>
  <c r="AC134" i="1"/>
  <c r="AE134" i="1" s="1"/>
  <c r="AC135" i="1"/>
  <c r="AE135" i="1" s="1"/>
  <c r="AC136" i="1"/>
  <c r="AE136" i="1" s="1"/>
  <c r="AC137" i="1"/>
  <c r="AC138" i="1"/>
  <c r="AC139" i="1"/>
  <c r="AC140" i="1"/>
  <c r="AC141" i="1"/>
  <c r="AC142" i="1"/>
  <c r="AE142" i="1" s="1"/>
  <c r="AC143" i="1"/>
  <c r="AE143" i="1" s="1"/>
  <c r="AC144" i="1"/>
  <c r="AE144" i="1" s="1"/>
  <c r="AC145" i="1"/>
  <c r="AC146" i="1"/>
  <c r="AC147" i="1"/>
  <c r="AC148" i="1"/>
  <c r="AC149" i="1"/>
  <c r="AC150" i="1"/>
  <c r="AE150" i="1" s="1"/>
  <c r="AC151" i="1"/>
  <c r="AE151" i="1" s="1"/>
  <c r="AC152" i="1"/>
  <c r="AE152" i="1" s="1"/>
  <c r="AC153" i="1"/>
  <c r="AC154" i="1"/>
  <c r="AC155" i="1"/>
  <c r="AC156" i="1"/>
  <c r="AC157" i="1"/>
  <c r="AC158" i="1"/>
  <c r="AE158" i="1" s="1"/>
  <c r="AC159" i="1"/>
  <c r="AE159" i="1" s="1"/>
  <c r="AC160" i="1"/>
  <c r="AE160" i="1" s="1"/>
  <c r="AC161" i="1"/>
  <c r="AC162" i="1"/>
  <c r="AC163" i="1"/>
  <c r="AC164" i="1"/>
  <c r="AC165" i="1"/>
  <c r="AC166" i="1"/>
  <c r="AE166" i="1" s="1"/>
  <c r="AC167" i="1"/>
  <c r="AE167" i="1" s="1"/>
  <c r="AC168" i="1"/>
  <c r="AE168" i="1" s="1"/>
  <c r="AC169" i="1"/>
  <c r="AC170" i="1"/>
  <c r="AC171" i="1"/>
  <c r="AC172" i="1"/>
  <c r="AC173" i="1"/>
  <c r="AE173" i="1" s="1"/>
  <c r="AC174" i="1"/>
  <c r="AE174" i="1" s="1"/>
  <c r="AC175" i="1"/>
  <c r="AE175" i="1" s="1"/>
  <c r="AC176" i="1"/>
  <c r="AE176" i="1" s="1"/>
  <c r="AC177" i="1"/>
  <c r="AC178" i="1"/>
  <c r="AC179" i="1"/>
  <c r="AC180" i="1"/>
  <c r="AC181" i="1"/>
  <c r="AC182" i="1"/>
  <c r="AE182" i="1" s="1"/>
  <c r="AC183" i="1"/>
  <c r="AE183" i="1" s="1"/>
  <c r="AC184" i="1"/>
  <c r="AE184" i="1" s="1"/>
  <c r="AC185" i="1"/>
  <c r="AC186" i="1"/>
  <c r="AC187" i="1"/>
  <c r="AC188" i="1"/>
  <c r="AC189" i="1"/>
  <c r="AC190" i="1"/>
  <c r="AE190" i="1" s="1"/>
  <c r="AC191" i="1"/>
  <c r="AE191" i="1" s="1"/>
  <c r="AC192" i="1"/>
  <c r="AE192" i="1" s="1"/>
  <c r="AC193" i="1"/>
  <c r="AC194" i="1"/>
  <c r="AC195" i="1"/>
  <c r="AC196" i="1"/>
  <c r="AC197" i="1"/>
  <c r="AC198" i="1"/>
  <c r="AE198" i="1" s="1"/>
  <c r="AC199" i="1"/>
  <c r="AE199" i="1" s="1"/>
  <c r="AC200" i="1"/>
  <c r="AE200" i="1" s="1"/>
  <c r="AC201" i="1"/>
  <c r="AC202" i="1"/>
  <c r="AC203" i="1"/>
  <c r="AC204" i="1"/>
  <c r="AC205" i="1"/>
  <c r="AC206" i="1"/>
  <c r="AE206" i="1" s="1"/>
  <c r="AC207" i="1"/>
  <c r="AE207" i="1" s="1"/>
  <c r="AC208" i="1"/>
  <c r="AE208" i="1" s="1"/>
  <c r="AC209" i="1"/>
  <c r="AC210" i="1"/>
  <c r="AC211" i="1"/>
  <c r="AC212" i="1"/>
  <c r="AE212" i="1" s="1"/>
  <c r="AC213" i="1"/>
  <c r="AC214" i="1"/>
  <c r="AE214" i="1" s="1"/>
  <c r="AC215" i="1"/>
  <c r="AE215" i="1" s="1"/>
  <c r="AC216" i="1"/>
  <c r="AE216" i="1" s="1"/>
  <c r="AC217" i="1"/>
  <c r="AC218" i="1"/>
  <c r="AC219" i="1"/>
  <c r="AC220" i="1"/>
  <c r="AC221" i="1"/>
  <c r="AC222" i="1"/>
  <c r="AE222" i="1" s="1"/>
  <c r="AC223" i="1"/>
  <c r="AE223" i="1" s="1"/>
  <c r="AC224" i="1"/>
  <c r="AE224" i="1" s="1"/>
  <c r="AC225" i="1"/>
  <c r="AC226" i="1"/>
  <c r="AC227" i="1"/>
  <c r="AC228" i="1"/>
  <c r="AC229" i="1"/>
  <c r="AC230" i="1"/>
  <c r="AE230" i="1" s="1"/>
  <c r="AC231" i="1"/>
  <c r="AE231" i="1" s="1"/>
  <c r="AC232" i="1"/>
  <c r="AE232" i="1" s="1"/>
  <c r="AC233" i="1"/>
  <c r="AC234" i="1"/>
  <c r="AC235" i="1"/>
  <c r="AC236" i="1"/>
  <c r="AC237" i="1"/>
  <c r="AE237" i="1" s="1"/>
  <c r="AC238" i="1"/>
  <c r="AE238" i="1" s="1"/>
  <c r="AC239" i="1"/>
  <c r="AE239" i="1" s="1"/>
  <c r="AC240" i="1"/>
  <c r="AE240" i="1" s="1"/>
  <c r="AC241" i="1"/>
  <c r="AC242" i="1"/>
  <c r="AC243" i="1"/>
  <c r="AC244" i="1"/>
  <c r="AC245" i="1"/>
  <c r="AC246" i="1"/>
  <c r="AE246" i="1" s="1"/>
  <c r="AC247" i="1"/>
  <c r="AE247" i="1" s="1"/>
  <c r="AC248" i="1"/>
  <c r="AE248" i="1" s="1"/>
  <c r="AC249" i="1"/>
  <c r="AC250" i="1"/>
  <c r="AC251" i="1"/>
  <c r="AC252" i="1"/>
  <c r="AC253" i="1"/>
  <c r="AC254" i="1"/>
  <c r="AE254" i="1" s="1"/>
  <c r="AC255" i="1"/>
  <c r="AE255" i="1" s="1"/>
  <c r="AC256" i="1"/>
  <c r="AE256" i="1" s="1"/>
  <c r="AC257" i="1"/>
  <c r="AC258" i="1"/>
  <c r="AC259" i="1"/>
  <c r="AC260" i="1"/>
  <c r="AC261" i="1"/>
  <c r="AC262" i="1"/>
  <c r="AE262" i="1" s="1"/>
  <c r="AC263" i="1"/>
  <c r="AE263" i="1" s="1"/>
  <c r="AC264" i="1"/>
  <c r="AE264" i="1" s="1"/>
  <c r="AC265" i="1"/>
  <c r="AC266" i="1"/>
  <c r="AC267" i="1"/>
  <c r="AC268" i="1"/>
  <c r="AC269" i="1"/>
  <c r="AC270" i="1"/>
  <c r="AE270" i="1" s="1"/>
  <c r="AC271" i="1"/>
  <c r="AE271" i="1" s="1"/>
  <c r="AC272" i="1"/>
  <c r="AE272" i="1" s="1"/>
  <c r="AC273" i="1"/>
  <c r="AC274" i="1"/>
  <c r="AC275" i="1"/>
  <c r="AC276" i="1"/>
  <c r="AE276" i="1" s="1"/>
  <c r="AC277" i="1"/>
  <c r="AC278" i="1"/>
  <c r="AE278" i="1" s="1"/>
  <c r="AC279" i="1"/>
  <c r="AE279" i="1" s="1"/>
  <c r="AC280" i="1"/>
  <c r="AE280" i="1" s="1"/>
  <c r="AC281" i="1"/>
  <c r="AC282" i="1"/>
  <c r="AC283" i="1"/>
  <c r="AC284" i="1"/>
  <c r="AC285" i="1"/>
  <c r="AC286" i="1"/>
  <c r="AE286" i="1" s="1"/>
  <c r="AC287" i="1"/>
  <c r="AE287" i="1" s="1"/>
  <c r="AC288" i="1"/>
  <c r="AE288" i="1" s="1"/>
  <c r="AC289" i="1"/>
  <c r="AC290" i="1"/>
  <c r="AC291" i="1"/>
  <c r="AC292" i="1"/>
  <c r="AC293" i="1"/>
  <c r="AC294" i="1"/>
  <c r="AE294" i="1" s="1"/>
  <c r="AC295" i="1"/>
  <c r="AE295" i="1" s="1"/>
  <c r="AC296" i="1"/>
  <c r="AE296" i="1" s="1"/>
  <c r="AC297" i="1"/>
  <c r="AC298" i="1"/>
  <c r="AC299" i="1"/>
  <c r="AC300" i="1"/>
  <c r="AC301" i="1"/>
  <c r="AE301" i="1" s="1"/>
  <c r="AC302" i="1"/>
  <c r="AE302" i="1" s="1"/>
  <c r="AC303" i="1"/>
  <c r="AE303" i="1" s="1"/>
  <c r="AC304" i="1"/>
  <c r="AE304" i="1" s="1"/>
  <c r="AC305" i="1"/>
  <c r="AC306" i="1"/>
  <c r="AC307" i="1"/>
  <c r="AC308" i="1"/>
  <c r="AC309" i="1"/>
  <c r="AC310" i="1"/>
  <c r="AE310" i="1" s="1"/>
  <c r="AC311" i="1"/>
  <c r="AE311" i="1" s="1"/>
  <c r="AC312" i="1"/>
  <c r="AE312" i="1" s="1"/>
  <c r="AC313" i="1"/>
  <c r="AC314" i="1"/>
  <c r="AC315" i="1"/>
  <c r="AC316" i="1"/>
  <c r="AC317" i="1"/>
  <c r="AC318" i="1"/>
  <c r="AE318" i="1" s="1"/>
  <c r="AC319" i="1"/>
  <c r="AE319" i="1" s="1"/>
  <c r="AC320" i="1"/>
  <c r="AE320" i="1" s="1"/>
  <c r="AC321" i="1"/>
  <c r="AC322" i="1"/>
  <c r="AC323" i="1"/>
  <c r="AC324" i="1"/>
  <c r="AC325" i="1"/>
  <c r="AC326" i="1"/>
  <c r="AE326" i="1" s="1"/>
  <c r="AC327" i="1"/>
  <c r="AE327" i="1" s="1"/>
  <c r="AC328" i="1"/>
  <c r="AE328" i="1" s="1"/>
  <c r="AC329" i="1"/>
  <c r="AC330" i="1"/>
  <c r="AC331" i="1"/>
  <c r="AC332" i="1"/>
  <c r="AC333" i="1"/>
  <c r="AC334" i="1"/>
  <c r="AE334" i="1" s="1"/>
  <c r="AE77" i="1"/>
  <c r="AE81" i="1"/>
  <c r="AE82" i="1"/>
  <c r="AE83" i="1"/>
  <c r="AE84" i="1"/>
  <c r="AE85" i="1"/>
  <c r="AE89" i="1"/>
  <c r="AE90" i="1"/>
  <c r="AE91" i="1"/>
  <c r="AE92" i="1"/>
  <c r="AE93" i="1"/>
  <c r="AE97" i="1"/>
  <c r="AE98" i="1"/>
  <c r="AE99" i="1"/>
  <c r="AE100" i="1"/>
  <c r="AE101" i="1"/>
  <c r="AE105" i="1"/>
  <c r="AE106" i="1"/>
  <c r="AE107" i="1"/>
  <c r="AE108" i="1"/>
  <c r="AE113" i="1"/>
  <c r="AE114" i="1"/>
  <c r="AE115" i="1"/>
  <c r="AE116" i="1"/>
  <c r="AE117" i="1"/>
  <c r="AE121" i="1"/>
  <c r="AE122" i="1"/>
  <c r="AE123" i="1"/>
  <c r="AE124" i="1"/>
  <c r="AE125" i="1"/>
  <c r="AE129" i="1"/>
  <c r="AE130" i="1"/>
  <c r="AE131" i="1"/>
  <c r="AE132" i="1"/>
  <c r="AE133" i="1"/>
  <c r="AE137" i="1"/>
  <c r="AE138" i="1"/>
  <c r="AE139" i="1"/>
  <c r="AE140" i="1"/>
  <c r="AE141" i="1"/>
  <c r="AE145" i="1"/>
  <c r="AE146" i="1"/>
  <c r="AE147" i="1"/>
  <c r="AE148" i="1"/>
  <c r="AE149" i="1"/>
  <c r="AE153" i="1"/>
  <c r="AE154" i="1"/>
  <c r="AE155" i="1"/>
  <c r="AE156" i="1"/>
  <c r="AE157" i="1"/>
  <c r="AE161" i="1"/>
  <c r="AE162" i="1"/>
  <c r="AE163" i="1"/>
  <c r="AE164" i="1"/>
  <c r="AE165" i="1"/>
  <c r="AE169" i="1"/>
  <c r="AE170" i="1"/>
  <c r="AE171" i="1"/>
  <c r="AE172" i="1"/>
  <c r="AE177" i="1"/>
  <c r="AE178" i="1"/>
  <c r="AE179" i="1"/>
  <c r="AE180" i="1"/>
  <c r="AE181" i="1"/>
  <c r="AE185" i="1"/>
  <c r="AE186" i="1"/>
  <c r="AE187" i="1"/>
  <c r="AE188" i="1"/>
  <c r="AE189" i="1"/>
  <c r="AE193" i="1"/>
  <c r="AE194" i="1"/>
  <c r="AE195" i="1"/>
  <c r="AE196" i="1"/>
  <c r="AE197" i="1"/>
  <c r="AE201" i="1"/>
  <c r="AE202" i="1"/>
  <c r="AE203" i="1"/>
  <c r="AE204" i="1"/>
  <c r="AE205" i="1"/>
  <c r="AE209" i="1"/>
  <c r="AE210" i="1"/>
  <c r="AE211" i="1"/>
  <c r="AE213" i="1"/>
  <c r="AE217" i="1"/>
  <c r="AE218" i="1"/>
  <c r="AE219" i="1"/>
  <c r="AE220" i="1"/>
  <c r="AE221" i="1"/>
  <c r="AE225" i="1"/>
  <c r="AE226" i="1"/>
  <c r="AE227" i="1"/>
  <c r="AE228" i="1"/>
  <c r="AE229" i="1"/>
  <c r="AE233" i="1"/>
  <c r="AE234" i="1"/>
  <c r="AE235" i="1"/>
  <c r="AE236" i="1"/>
  <c r="AE241" i="1"/>
  <c r="AE242" i="1"/>
  <c r="AE243" i="1"/>
  <c r="AE244" i="1"/>
  <c r="AE245" i="1"/>
  <c r="AE249" i="1"/>
  <c r="AE250" i="1"/>
  <c r="AE251" i="1"/>
  <c r="AE252" i="1"/>
  <c r="AE253" i="1"/>
  <c r="AE257" i="1"/>
  <c r="AE258" i="1"/>
  <c r="AE259" i="1"/>
  <c r="AE260" i="1"/>
  <c r="AE261" i="1"/>
  <c r="AE265" i="1"/>
  <c r="AE266" i="1"/>
  <c r="AE267" i="1"/>
  <c r="AE268" i="1"/>
  <c r="AE269" i="1"/>
  <c r="AE273" i="1"/>
  <c r="AE274" i="1"/>
  <c r="AE275" i="1"/>
  <c r="AE277" i="1"/>
  <c r="AE281" i="1"/>
  <c r="AE282" i="1"/>
  <c r="AE283" i="1"/>
  <c r="AE284" i="1"/>
  <c r="AE285" i="1"/>
  <c r="AE289" i="1"/>
  <c r="AE290" i="1"/>
  <c r="AE291" i="1"/>
  <c r="AE292" i="1"/>
  <c r="AE293" i="1"/>
  <c r="AE297" i="1"/>
  <c r="AE298" i="1"/>
  <c r="AE299" i="1"/>
  <c r="AE300" i="1"/>
  <c r="AE305" i="1"/>
  <c r="AE306" i="1"/>
  <c r="AE307" i="1"/>
  <c r="AE308" i="1"/>
  <c r="AE309" i="1"/>
  <c r="AE313" i="1"/>
  <c r="AE314" i="1"/>
  <c r="AE315" i="1"/>
  <c r="AE316" i="1"/>
  <c r="AE317" i="1"/>
  <c r="AE321" i="1"/>
  <c r="AE322" i="1"/>
  <c r="AE323" i="1"/>
  <c r="AE324" i="1"/>
  <c r="AE325" i="1"/>
  <c r="AE329" i="1"/>
  <c r="AE330" i="1"/>
  <c r="AE331" i="1"/>
  <c r="AE332" i="1"/>
  <c r="AE333"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C16" i="1"/>
  <c r="AE16" i="1" s="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C15" i="1"/>
  <c r="AE15" i="1" s="1"/>
  <c r="AC17" i="1"/>
  <c r="AE17" i="1"/>
  <c r="AC18" i="1"/>
  <c r="AE18" i="1"/>
  <c r="AC19" i="1"/>
  <c r="AE19" i="1" s="1"/>
  <c r="AC20" i="1"/>
  <c r="AE20" i="1"/>
  <c r="AC21" i="1"/>
  <c r="AE21" i="1"/>
  <c r="AC22" i="1"/>
  <c r="AE22" i="1"/>
  <c r="AC23" i="1"/>
  <c r="AE23" i="1" s="1"/>
  <c r="AC24" i="1"/>
  <c r="AE24" i="1"/>
  <c r="AC25" i="1"/>
  <c r="AE25" i="1"/>
  <c r="AC26" i="1"/>
  <c r="AE26" i="1"/>
  <c r="AC27" i="1"/>
  <c r="AE27" i="1" s="1"/>
  <c r="AC28" i="1"/>
  <c r="AE28" i="1"/>
  <c r="AC29" i="1"/>
  <c r="AE29" i="1"/>
  <c r="AC30" i="1"/>
  <c r="AE30" i="1"/>
  <c r="AC31" i="1"/>
  <c r="AE31" i="1" s="1"/>
  <c r="AC32" i="1"/>
  <c r="AE32" i="1"/>
  <c r="AC33" i="1"/>
  <c r="AE33" i="1"/>
  <c r="AC34" i="1"/>
  <c r="AE34" i="1"/>
  <c r="AC35" i="1"/>
  <c r="AE35" i="1" s="1"/>
  <c r="AC36" i="1"/>
  <c r="AE36" i="1"/>
  <c r="AC37" i="1"/>
  <c r="AE37" i="1"/>
  <c r="AC38" i="1"/>
  <c r="AE38" i="1"/>
  <c r="AC39" i="1"/>
  <c r="AE39" i="1" s="1"/>
  <c r="AC40" i="1"/>
  <c r="AE40" i="1"/>
  <c r="AC41" i="1"/>
  <c r="AE41" i="1"/>
  <c r="AC42" i="1"/>
  <c r="AE42" i="1" s="1"/>
  <c r="AC43" i="1"/>
  <c r="AE43" i="1" s="1"/>
  <c r="AC44" i="1"/>
  <c r="AE44" i="1"/>
  <c r="AC45" i="1"/>
  <c r="AE45" i="1"/>
  <c r="AC46" i="1"/>
  <c r="AE46" i="1"/>
  <c r="AC47" i="1"/>
  <c r="AE47" i="1" s="1"/>
  <c r="AC48" i="1"/>
  <c r="AE48" i="1"/>
  <c r="AC49" i="1"/>
  <c r="AE49" i="1"/>
  <c r="AC50" i="1"/>
  <c r="AE50" i="1"/>
  <c r="AC51" i="1"/>
  <c r="AE51" i="1" s="1"/>
  <c r="AC52" i="1"/>
  <c r="AE52" i="1"/>
  <c r="AC53" i="1"/>
  <c r="AE53" i="1"/>
  <c r="AC54" i="1"/>
  <c r="AE54" i="1"/>
  <c r="AC55" i="1"/>
  <c r="AE55" i="1" s="1"/>
  <c r="AC56" i="1"/>
  <c r="AE56" i="1"/>
  <c r="AC57" i="1"/>
  <c r="AE57" i="1"/>
  <c r="AC58" i="1"/>
  <c r="AE58" i="1"/>
  <c r="AC59" i="1"/>
  <c r="AE59" i="1" s="1"/>
  <c r="AC60" i="1"/>
  <c r="AE60" i="1"/>
  <c r="AC61" i="1"/>
  <c r="AE61" i="1"/>
  <c r="AC62" i="1"/>
  <c r="AE62" i="1"/>
  <c r="AC63" i="1"/>
  <c r="AE63" i="1"/>
  <c r="AC64" i="1"/>
  <c r="AE64" i="1"/>
  <c r="AC65" i="1"/>
  <c r="AE65" i="1"/>
  <c r="AC66" i="1"/>
  <c r="AE66" i="1"/>
  <c r="AC67" i="1"/>
  <c r="AE67" i="1"/>
  <c r="AC68" i="1"/>
  <c r="AE68" i="1"/>
  <c r="AC69" i="1"/>
  <c r="AE69" i="1"/>
  <c r="AC70" i="1"/>
  <c r="AE70" i="1"/>
  <c r="AC71" i="1"/>
  <c r="AE71" i="1"/>
  <c r="AC72" i="1"/>
  <c r="AE72" i="1"/>
  <c r="AC73" i="1"/>
  <c r="AE73" i="1"/>
  <c r="AC74" i="1"/>
  <c r="AE74" i="1"/>
  <c r="AC75" i="1"/>
  <c r="AE75" i="1"/>
  <c r="AC76" i="1"/>
  <c r="AE76" i="1"/>
  <c r="M63" i="79"/>
  <c r="M61" i="79"/>
  <c r="M49" i="79"/>
  <c r="M47" i="79"/>
  <c r="M25" i="79"/>
  <c r="M22" i="79"/>
  <c r="M9" i="79"/>
  <c r="M12" i="79"/>
  <c r="G47" i="79"/>
  <c r="I61" i="79"/>
  <c r="G61" i="79"/>
  <c r="H18" i="71"/>
  <c r="AF81" i="50"/>
  <c r="AF80" i="50"/>
  <c r="AF79" i="50"/>
  <c r="AJ78" i="50"/>
  <c r="AF78" i="50"/>
  <c r="AJ77" i="50"/>
  <c r="AF77" i="50"/>
  <c r="AJ76" i="50"/>
  <c r="AF76" i="50"/>
  <c r="AJ75" i="50"/>
  <c r="AF75" i="50"/>
  <c r="AJ74" i="50"/>
  <c r="AF74" i="50"/>
  <c r="AD84" i="50" s="1"/>
  <c r="AJ73" i="50"/>
  <c r="AH84" i="50" s="1"/>
  <c r="AF73" i="50"/>
  <c r="AJ72" i="50"/>
  <c r="AJ71" i="50"/>
  <c r="AF72" i="50"/>
  <c r="AF71" i="50"/>
  <c r="H19" i="75" l="1"/>
  <c r="G20" i="75" s="1"/>
  <c r="D17" i="71"/>
  <c r="H17" i="71" s="1"/>
  <c r="H20" i="74"/>
  <c r="M17" i="72"/>
  <c r="O17" i="72" s="1"/>
  <c r="Q17" i="72" s="1"/>
  <c r="G16" i="74"/>
  <c r="H16" i="74" s="1"/>
  <c r="G21" i="74" s="1"/>
  <c r="H17" i="75"/>
  <c r="F30" i="74"/>
  <c r="G34" i="74" s="1"/>
  <c r="P41" i="69"/>
  <c r="J21" i="73"/>
  <c r="J25" i="73"/>
  <c r="J29" i="73"/>
  <c r="J28" i="73"/>
  <c r="J22" i="73"/>
  <c r="J26" i="73"/>
  <c r="J23" i="73"/>
  <c r="J27" i="73"/>
  <c r="J24" i="73"/>
  <c r="J43" i="72"/>
  <c r="J47" i="72"/>
  <c r="J51" i="72"/>
  <c r="J44" i="72"/>
  <c r="J50" i="72"/>
  <c r="J40" i="72"/>
  <c r="J48" i="72"/>
  <c r="J46" i="72"/>
  <c r="J41" i="72"/>
  <c r="J45" i="72"/>
  <c r="J49" i="72"/>
  <c r="J42" i="72"/>
  <c r="Q32" i="69"/>
  <c r="Q33" i="69" s="1"/>
  <c r="Q34" i="69" s="1"/>
  <c r="Q35" i="69" s="1"/>
  <c r="Q36" i="69" s="1"/>
  <c r="Q37" i="69" s="1"/>
  <c r="Q38" i="69" s="1"/>
  <c r="Q39" i="69" s="1"/>
  <c r="Q40" i="69" s="1"/>
  <c r="Q41" i="69" s="1"/>
  <c r="O22" i="69"/>
  <c r="D15" i="71"/>
  <c r="D29" i="71"/>
  <c r="J39" i="72"/>
  <c r="L39" i="72" s="1"/>
  <c r="L20" i="73"/>
  <c r="N20" i="73"/>
  <c r="O20" i="73"/>
  <c r="K20" i="73"/>
  <c r="H34" i="74" l="1"/>
  <c r="D32" i="71"/>
  <c r="H30" i="74"/>
  <c r="G35" i="74" s="1"/>
  <c r="I17" i="75"/>
  <c r="G23" i="75" s="1"/>
  <c r="H23" i="75"/>
  <c r="K17" i="75"/>
  <c r="G18" i="75"/>
  <c r="R17" i="72"/>
  <c r="M22" i="72"/>
  <c r="G22" i="74"/>
  <c r="F17" i="71" s="1"/>
  <c r="E17" i="71"/>
  <c r="F18" i="75"/>
  <c r="F20" i="75"/>
  <c r="R40" i="69" a="1"/>
  <c r="R40" i="69" s="1"/>
  <c r="R30" i="69" a="1"/>
  <c r="R30" i="69" s="1"/>
  <c r="R29" i="69" a="1"/>
  <c r="R29" i="69" s="1"/>
  <c r="R38" i="69" a="1"/>
  <c r="R38" i="69" s="1"/>
  <c r="O39" i="72"/>
  <c r="P39" i="72" s="1"/>
  <c r="Q39" i="72" s="1"/>
  <c r="N39" i="72"/>
  <c r="R34" i="69" a="1"/>
  <c r="R34" i="69" s="1"/>
  <c r="R31" i="69" a="1"/>
  <c r="R31" i="69" s="1"/>
  <c r="R35" i="69" a="1"/>
  <c r="R35" i="69" s="1"/>
  <c r="R36" i="69" a="1"/>
  <c r="R36" i="69" s="1"/>
  <c r="R32" i="69" a="1"/>
  <c r="R32" i="69" s="1"/>
  <c r="R33" i="69" a="1"/>
  <c r="R33" i="69" s="1"/>
  <c r="R37" i="69" a="1"/>
  <c r="R37" i="69" s="1"/>
  <c r="N49" i="72"/>
  <c r="R49" i="72"/>
  <c r="K49" i="72"/>
  <c r="O49" i="72"/>
  <c r="M49" i="72"/>
  <c r="L49" i="72"/>
  <c r="P49" i="72"/>
  <c r="Q49" i="72"/>
  <c r="N48" i="72"/>
  <c r="R48" i="72"/>
  <c r="M48" i="72"/>
  <c r="K48" i="72"/>
  <c r="O48" i="72"/>
  <c r="L48" i="72"/>
  <c r="P48" i="72"/>
  <c r="Q48" i="72"/>
  <c r="N51" i="72"/>
  <c r="R51" i="72"/>
  <c r="Q51" i="72"/>
  <c r="K51" i="72"/>
  <c r="O51" i="72"/>
  <c r="M51" i="72"/>
  <c r="L51" i="72"/>
  <c r="P51" i="72"/>
  <c r="N27" i="73"/>
  <c r="R27" i="73"/>
  <c r="Q27" i="73"/>
  <c r="K27" i="73"/>
  <c r="O27" i="73"/>
  <c r="M27" i="73"/>
  <c r="L27" i="73"/>
  <c r="P27" i="73"/>
  <c r="N28" i="73"/>
  <c r="R28" i="73"/>
  <c r="Q28" i="73"/>
  <c r="K28" i="73"/>
  <c r="O28" i="73"/>
  <c r="L28" i="73"/>
  <c r="P28" i="73"/>
  <c r="M28" i="73"/>
  <c r="N45" i="72"/>
  <c r="R45" i="72"/>
  <c r="K45" i="72"/>
  <c r="O45" i="72"/>
  <c r="M45" i="72"/>
  <c r="L45" i="72"/>
  <c r="P45" i="72"/>
  <c r="Q45" i="72"/>
  <c r="O40" i="72"/>
  <c r="K40" i="72"/>
  <c r="L40" i="72"/>
  <c r="L52" i="72" s="1"/>
  <c r="N40" i="72"/>
  <c r="N47" i="72"/>
  <c r="R47" i="72"/>
  <c r="Q47" i="72"/>
  <c r="K47" i="72"/>
  <c r="O47" i="72"/>
  <c r="L47" i="72"/>
  <c r="P47" i="72"/>
  <c r="M47" i="72"/>
  <c r="N23" i="73"/>
  <c r="R23" i="73"/>
  <c r="M23" i="73"/>
  <c r="K23" i="73"/>
  <c r="O23" i="73"/>
  <c r="L23" i="73"/>
  <c r="P23" i="73"/>
  <c r="Q23" i="73"/>
  <c r="N29" i="73"/>
  <c r="R29" i="73"/>
  <c r="Q29" i="73"/>
  <c r="K29" i="73"/>
  <c r="O29" i="73"/>
  <c r="L29" i="73"/>
  <c r="P29" i="73"/>
  <c r="M29" i="73"/>
  <c r="O41" i="72"/>
  <c r="N41" i="72"/>
  <c r="K41" i="72"/>
  <c r="L41" i="72"/>
  <c r="N50" i="72"/>
  <c r="R50" i="72"/>
  <c r="M50" i="72"/>
  <c r="K50" i="72"/>
  <c r="O50" i="72"/>
  <c r="L50" i="72"/>
  <c r="P50" i="72"/>
  <c r="Q50" i="72"/>
  <c r="N43" i="72"/>
  <c r="R43" i="72"/>
  <c r="M43" i="72"/>
  <c r="K43" i="72"/>
  <c r="O43" i="72"/>
  <c r="L43" i="72"/>
  <c r="P43" i="72"/>
  <c r="Q43" i="72"/>
  <c r="N26" i="73"/>
  <c r="R26" i="73"/>
  <c r="M26" i="73"/>
  <c r="K26" i="73"/>
  <c r="O26" i="73"/>
  <c r="L26" i="73"/>
  <c r="P26" i="73"/>
  <c r="Q26" i="73"/>
  <c r="N25" i="73"/>
  <c r="R25" i="73"/>
  <c r="M25" i="73"/>
  <c r="K25" i="73"/>
  <c r="O25" i="73"/>
  <c r="L25" i="73"/>
  <c r="P25" i="73"/>
  <c r="Q25" i="73"/>
  <c r="N42" i="72"/>
  <c r="R42" i="72"/>
  <c r="K42" i="72"/>
  <c r="O42" i="72"/>
  <c r="M42" i="72"/>
  <c r="L42" i="72"/>
  <c r="P42" i="72"/>
  <c r="Q42" i="72"/>
  <c r="N46" i="72"/>
  <c r="R46" i="72"/>
  <c r="M46" i="72"/>
  <c r="K46" i="72"/>
  <c r="O46" i="72"/>
  <c r="Q46" i="72"/>
  <c r="L46" i="72"/>
  <c r="P46" i="72"/>
  <c r="N44" i="72"/>
  <c r="R44" i="72"/>
  <c r="Q44" i="72"/>
  <c r="K44" i="72"/>
  <c r="O44" i="72"/>
  <c r="L44" i="72"/>
  <c r="P44" i="72"/>
  <c r="M44" i="72"/>
  <c r="N24" i="73"/>
  <c r="R24" i="73"/>
  <c r="M24" i="73"/>
  <c r="K24" i="73"/>
  <c r="O24" i="73"/>
  <c r="L24" i="73"/>
  <c r="P24" i="73"/>
  <c r="Q24" i="73"/>
  <c r="O22" i="73"/>
  <c r="K22" i="73"/>
  <c r="L22" i="73"/>
  <c r="M22" i="73" s="1"/>
  <c r="N22" i="73"/>
  <c r="O21" i="73"/>
  <c r="K21" i="73"/>
  <c r="N21" i="73"/>
  <c r="L21" i="73"/>
  <c r="H29" i="71"/>
  <c r="H15" i="71"/>
  <c r="R39" i="69" a="1"/>
  <c r="R39" i="69" s="1"/>
  <c r="K39" i="72"/>
  <c r="M39" i="72" s="1"/>
  <c r="M20" i="73"/>
  <c r="P20" i="73"/>
  <c r="Q20" i="73" s="1"/>
  <c r="G36" i="74" l="1"/>
  <c r="E32" i="71"/>
  <c r="G24" i="75"/>
  <c r="E18" i="71"/>
  <c r="D33" i="71"/>
  <c r="H32" i="71"/>
  <c r="F32" i="71"/>
  <c r="N22" i="72"/>
  <c r="D16" i="71"/>
  <c r="M23" i="72"/>
  <c r="N52" i="72"/>
  <c r="S17" i="72"/>
  <c r="M24" i="72" s="1"/>
  <c r="R18" i="72"/>
  <c r="N23" i="72"/>
  <c r="K30" i="73"/>
  <c r="R41" i="69" a="1"/>
  <c r="R41" i="69" s="1"/>
  <c r="O23" i="69" s="1" a="1"/>
  <c r="O23" i="69" s="1"/>
  <c r="P22" i="73"/>
  <c r="Q22" i="73" s="1"/>
  <c r="P40" i="72"/>
  <c r="Q40" i="72" s="1"/>
  <c r="P41" i="72"/>
  <c r="Q41" i="72" s="1"/>
  <c r="N30" i="73"/>
  <c r="L30" i="73"/>
  <c r="M30" i="73" s="1"/>
  <c r="P21" i="73"/>
  <c r="Q21" i="73" s="1"/>
  <c r="Q30" i="73" s="1"/>
  <c r="M41" i="72"/>
  <c r="M40" i="72"/>
  <c r="M21" i="73"/>
  <c r="K52" i="72"/>
  <c r="M52" i="72" s="1"/>
  <c r="F33" i="71" l="1"/>
  <c r="H33" i="71"/>
  <c r="E33" i="71"/>
  <c r="F18" i="71"/>
  <c r="H16" i="71"/>
  <c r="H19" i="71" s="1"/>
  <c r="C21" i="71" s="1"/>
  <c r="E16" i="71"/>
  <c r="N23" i="69" a="1"/>
  <c r="N23" i="69" s="1"/>
  <c r="N24" i="69" s="1"/>
  <c r="AU37" i="69" a="1"/>
  <c r="AU37" i="69" s="1"/>
  <c r="M26" i="72" s="1"/>
  <c r="R21" i="73"/>
  <c r="R22" i="73"/>
  <c r="Q52" i="72"/>
  <c r="L55" i="72" s="1"/>
  <c r="L36" i="73"/>
  <c r="M36" i="73" s="1"/>
  <c r="R20" i="73"/>
  <c r="R39" i="72" l="1"/>
  <c r="E15" i="71"/>
  <c r="E29" i="71"/>
  <c r="R30" i="73"/>
  <c r="L38" i="73" s="1"/>
  <c r="R41" i="72"/>
  <c r="R40" i="72"/>
  <c r="M27" i="72"/>
  <c r="M28" i="72" s="1"/>
  <c r="F16" i="71" s="1"/>
  <c r="F15" i="71"/>
  <c r="F29" i="71"/>
  <c r="D31" i="71"/>
  <c r="D30" i="71"/>
  <c r="M55" i="72"/>
  <c r="L37" i="73" l="1"/>
  <c r="E31" i="71" s="1"/>
  <c r="M37" i="73"/>
  <c r="R52" i="72"/>
  <c r="L56" i="72" s="1"/>
  <c r="E30" i="71" s="1"/>
  <c r="F31" i="71"/>
  <c r="H31" i="71"/>
  <c r="F19" i="71"/>
  <c r="F20" i="71" s="1"/>
  <c r="H30" i="71"/>
  <c r="M56" i="72" l="1"/>
  <c r="H34" i="71"/>
  <c r="L57" i="72"/>
  <c r="F30" i="71" s="1"/>
  <c r="F34" i="71" s="1"/>
  <c r="F35" i="71" l="1"/>
  <c r="C36"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c.parmentier</author>
    <author>p.nom</author>
    <author>ANACT</author>
  </authors>
  <commentList>
    <comment ref="B14" authorId="0" shapeId="0" xr:uid="{00000000-0006-0000-0500-000001000000}">
      <text>
        <r>
          <rPr>
            <sz val="9"/>
            <color rgb="FF000000"/>
            <rFont val="Times New Roman"/>
            <family val="1"/>
          </rPr>
          <t xml:space="preserve">
</t>
        </r>
        <r>
          <rPr>
            <b/>
            <sz val="12"/>
            <color rgb="FF000000"/>
            <rFont val="Helv"/>
          </rPr>
          <t>ANACT:</t>
        </r>
        <r>
          <rPr>
            <sz val="12"/>
            <color rgb="FF000000"/>
            <rFont val="Helv"/>
          </rPr>
          <t xml:space="preserve">
</t>
        </r>
        <r>
          <rPr>
            <sz val="12"/>
            <color rgb="FF000000"/>
            <rFont val="Helv"/>
          </rPr>
          <t>si vous avez des 1 et des 2 vous pouvez les remplacer par H et F (plus lisible), grâce à la fonction recherche-remplace, ou la fonction filtre automatique avec usage de la correction étendue 'cf. guide)</t>
        </r>
      </text>
    </comment>
    <comment ref="C14" authorId="0" shapeId="0" xr:uid="{00000000-0006-0000-0500-000002000000}">
      <text>
        <r>
          <rPr>
            <b/>
            <sz val="12"/>
            <color rgb="FF000000"/>
            <rFont val="Helv"/>
          </rPr>
          <t xml:space="preserve">ANACT : </t>
        </r>
        <r>
          <rPr>
            <sz val="12"/>
            <color rgb="FF000000"/>
            <rFont val="Helv"/>
          </rPr>
          <t xml:space="preserve">
</t>
        </r>
        <r>
          <rPr>
            <sz val="12"/>
            <color rgb="FF000000"/>
            <rFont val="Helv"/>
          </rPr>
          <t xml:space="preserve">
</t>
        </r>
        <r>
          <rPr>
            <sz val="12"/>
            <color rgb="FF000000"/>
            <rFont val="Helv"/>
          </rPr>
          <t xml:space="preserve">Vérifier :
</t>
        </r>
        <r>
          <rPr>
            <sz val="12"/>
            <color rgb="FF000000"/>
            <rFont val="Helv"/>
          </rPr>
          <t xml:space="preserve">- que la date est bien en mode date et non standard, dans "format-cellule", pour qu'Excel reconnaisse la date pour le calcul de l'âge
</t>
        </r>
        <r>
          <rPr>
            <sz val="12"/>
            <color rgb="FF000000"/>
            <rFont val="Helv"/>
          </rPr>
          <t xml:space="preserve">- qu'il n'y a pas eu de transformation des dates à cause du transfert d'une base de donnée à une autre, en décochant sur un mac, dans "Excel-préférences-calcul", la case "calendrier depuis 1904". </t>
        </r>
      </text>
    </comment>
    <comment ref="K14" authorId="0" shapeId="0" xr:uid="{00000000-0006-0000-0500-000003000000}">
      <text>
        <r>
          <rPr>
            <b/>
            <sz val="12"/>
            <color rgb="FF000000"/>
            <rFont val="Helv"/>
          </rPr>
          <t>ANACT:</t>
        </r>
        <r>
          <rPr>
            <sz val="12"/>
            <color rgb="FF000000"/>
            <rFont val="Helv"/>
          </rPr>
          <t xml:space="preserve">
</t>
        </r>
        <r>
          <rPr>
            <sz val="12"/>
            <color rgb="FF000000"/>
            <rFont val="Helv"/>
          </rPr>
          <t xml:space="preserve">
</t>
        </r>
        <r>
          <rPr>
            <sz val="12"/>
            <color rgb="FF000000"/>
            <rFont val="Helv"/>
          </rPr>
          <t xml:space="preserve">- pour connaître le nombre de types d'emploi différents et savoir si il y a besoin d'effectuer des regroupements : faites apparaître les filtres automatiques (si ce n'est pas déjà le cas) en cliquant sur la ligne 1 pour la sélectionner, puis données filtre automatique. Il vous suffit ensuite de  cliquer sur l'onglet pour afficher toutes les catégories
</t>
        </r>
        <r>
          <rPr>
            <sz val="12"/>
            <color rgb="FF000000"/>
            <rFont val="Helv"/>
          </rPr>
          <t xml:space="preserve">- s'il y a trop de catégorie vous pouvez créer une colonne emplois regroupés et copier les emplois, pour les travailler ensuite
</t>
        </r>
        <r>
          <rPr>
            <sz val="12"/>
            <color rgb="FF000000"/>
            <rFont val="Helv"/>
          </rPr>
          <t>- pour effectuer des regroupements avec la fonction recherche-remplace, ex: remplacer tous les intitulés de secrétaires par secrétaire simplement en tapant : rechercher secrétaire* - remplacer secrétaire, ou la fonction philtre personalis</t>
        </r>
      </text>
    </comment>
    <comment ref="L14" authorId="1" shapeId="0" xr:uid="{00000000-0006-0000-0500-000004000000}">
      <text>
        <r>
          <rPr>
            <b/>
            <sz val="10"/>
            <color rgb="FF000000"/>
            <rFont val="Tahoma"/>
            <family val="2"/>
          </rPr>
          <t>p.nom:</t>
        </r>
        <r>
          <rPr>
            <sz val="10"/>
            <color rgb="FF000000"/>
            <rFont val="Tahoma"/>
            <family val="2"/>
          </rPr>
          <t xml:space="preserve">
</t>
        </r>
        <r>
          <rPr>
            <sz val="10"/>
            <color rgb="FF000000"/>
            <rFont val="Tahoma"/>
            <family val="2"/>
          </rPr>
          <t>VEUILLEZ A CE QUE LA MENTION SALARIESOIT BIEN PRESENT POUR LES FORMULES DE CALCUL INDEX</t>
        </r>
      </text>
    </comment>
    <comment ref="T14" authorId="1" shapeId="0" xr:uid="{00000000-0006-0000-0500-000005000000}">
      <text>
        <r>
          <rPr>
            <b/>
            <sz val="10"/>
            <color rgb="FF000000"/>
            <rFont val="Tahoma"/>
            <family val="2"/>
          </rPr>
          <t>p.nom:</t>
        </r>
        <r>
          <rPr>
            <sz val="10"/>
            <color rgb="FF000000"/>
            <rFont val="Tahoma"/>
            <family val="2"/>
          </rPr>
          <t xml:space="preserve">
</t>
        </r>
        <r>
          <rPr>
            <sz val="10"/>
            <color rgb="FF000000"/>
            <rFont val="Tahoma"/>
            <family val="2"/>
          </rPr>
          <t xml:space="preserve">remuneration annuelle brutefiscale (non ramenée en ETP)
</t>
        </r>
      </text>
    </comment>
    <comment ref="V14" authorId="1" shapeId="0" xr:uid="{00000000-0006-0000-0500-000006000000}">
      <text>
        <r>
          <rPr>
            <b/>
            <sz val="10"/>
            <color rgb="FF000000"/>
            <rFont val="Tahoma"/>
            <family val="2"/>
          </rPr>
          <t>p.nom:</t>
        </r>
        <r>
          <rPr>
            <sz val="10"/>
            <color rgb="FF000000"/>
            <rFont val="Tahoma"/>
            <family val="2"/>
          </rPr>
          <t xml:space="preserve">
</t>
        </r>
        <r>
          <rPr>
            <sz val="12"/>
            <color rgb="FF000000"/>
            <rFont val="Tahoma"/>
            <family val="2"/>
          </rPr>
          <t xml:space="preserve">- les indemnités de congés payés,
</t>
        </r>
        <r>
          <rPr>
            <sz val="12"/>
            <color rgb="FF000000"/>
            <rFont val="Tahoma"/>
            <family val="2"/>
          </rPr>
          <t xml:space="preserve">- les primes attribuées à tous les salariés, quel que soit - leur poste de travail (prime de transport ou prime de vacances),
</t>
        </r>
        <r>
          <rPr>
            <sz val="12"/>
            <color rgb="FF000000"/>
            <rFont val="Tahoma"/>
            <family val="2"/>
          </rPr>
          <t xml:space="preserve">- les bonus, les commissions sur produit, les primes d'objectifs liées aux performances individuelles,
</t>
        </r>
        <r>
          <rPr>
            <sz val="12"/>
            <color rgb="FF000000"/>
            <rFont val="Tahoma"/>
            <family val="2"/>
          </rPr>
          <t>- l'indemnité ou crédit de déplacement (équivalent en espèce de l'avantage tiré d'une voiture de fonction pouvant être utilisé a des fins personnelles)</t>
        </r>
      </text>
    </comment>
    <comment ref="W14" authorId="1" shapeId="0" xr:uid="{00000000-0006-0000-0500-000007000000}">
      <text>
        <r>
          <rPr>
            <b/>
            <sz val="10"/>
            <color rgb="FF000000"/>
            <rFont val="Tahoma"/>
            <family val="2"/>
          </rPr>
          <t>p.nom:</t>
        </r>
        <r>
          <rPr>
            <sz val="10"/>
            <color rgb="FF000000"/>
            <rFont val="Tahoma"/>
            <family val="2"/>
          </rPr>
          <t xml:space="preserve">
</t>
        </r>
        <r>
          <rPr>
            <sz val="10"/>
            <color rgb="FF000000"/>
            <rFont val="Tahoma"/>
            <family val="2"/>
          </rPr>
          <t>LES AUGMENTATIONS CONSIDERENT CELLES SUITE A PROMOTION</t>
        </r>
      </text>
    </comment>
    <comment ref="AE14" authorId="2" shapeId="0" xr:uid="{00000000-0006-0000-0500-000008000000}">
      <text>
        <r>
          <rPr>
            <b/>
            <sz val="12"/>
            <color rgb="FF000000"/>
            <rFont val="Helv"/>
          </rPr>
          <t>ANACT:</t>
        </r>
        <r>
          <rPr>
            <sz val="12"/>
            <color rgb="FF000000"/>
            <rFont val="Helv"/>
          </rPr>
          <t xml:space="preserve">
</t>
        </r>
        <r>
          <rPr>
            <sz val="12"/>
            <color rgb="FF000000"/>
            <rFont val="Helv"/>
          </rPr>
          <t xml:space="preserve">nous avons été obligés de numéroter les tranches de manière à ce que les tris croissants ou décroissants se fasent bien dans l'ordre
</t>
        </r>
        <r>
          <rPr>
            <sz val="12"/>
            <color rgb="FF000000"/>
            <rFont val="Helv"/>
          </rPr>
          <t>en effet la tranche 5-9 est comprise comme étant supérieure à la tranche 15-19, car c'est le chiffre 1 qui est pris en compte et non le nombre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p.nom</author>
  </authors>
  <commentList>
    <comment ref="K70" authorId="0" shapeId="0" xr:uid="{00000000-0006-0000-2000-000001000000}">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<sst xmlns="http://schemas.openxmlformats.org/spreadsheetml/2006/main" count="6452" uniqueCount="1008">
  <si>
    <t>TP</t>
  </si>
  <si>
    <t>TC</t>
  </si>
  <si>
    <t>DUREE DU TRAVAIL</t>
  </si>
  <si>
    <t>1-OUVRIER</t>
  </si>
  <si>
    <t>NOM</t>
  </si>
  <si>
    <t>1 : 1-4</t>
  </si>
  <si>
    <t>2 : 5-9</t>
  </si>
  <si>
    <t>3 : 10-14</t>
  </si>
  <si>
    <t>5 : 20-24</t>
  </si>
  <si>
    <t>6 : 25-29</t>
  </si>
  <si>
    <t>4 : 15-19</t>
  </si>
  <si>
    <t>comptable</t>
  </si>
  <si>
    <t>CATEGORIE</t>
  </si>
  <si>
    <t>NB sur NOM</t>
  </si>
  <si>
    <t>SEXE</t>
  </si>
  <si>
    <t>DATE NAISSANCE</t>
  </si>
  <si>
    <t>menu de tri complémentaire</t>
  </si>
  <si>
    <t>METIER</t>
  </si>
  <si>
    <t>Administratif</t>
  </si>
  <si>
    <t>PROMOTION</t>
  </si>
  <si>
    <t>7 : 30-34</t>
  </si>
  <si>
    <t>Tranche ancienneté</t>
  </si>
  <si>
    <t>PROD</t>
  </si>
  <si>
    <t>SA</t>
  </si>
  <si>
    <t>SERVICE</t>
  </si>
  <si>
    <t>COEF</t>
  </si>
  <si>
    <t>Age</t>
  </si>
  <si>
    <t>H</t>
  </si>
  <si>
    <t>Fabrication</t>
  </si>
  <si>
    <t>Conditionnement</t>
  </si>
  <si>
    <t>300</t>
  </si>
  <si>
    <t>200</t>
  </si>
  <si>
    <t>100</t>
  </si>
  <si>
    <t>500</t>
  </si>
  <si>
    <t>400</t>
  </si>
  <si>
    <t>chef d'équipe</t>
  </si>
  <si>
    <t>commercial</t>
  </si>
  <si>
    <t>directeur</t>
  </si>
  <si>
    <t>DIR</t>
  </si>
  <si>
    <t>700</t>
  </si>
  <si>
    <t>Contrat Aidé</t>
  </si>
  <si>
    <t>Ancienneté</t>
  </si>
  <si>
    <t>CDD</t>
  </si>
  <si>
    <t>opérateur</t>
  </si>
  <si>
    <t>secrétaire</t>
  </si>
  <si>
    <t>NB sur SEXE</t>
  </si>
  <si>
    <t>0 : - d'1 an</t>
  </si>
  <si>
    <t>F</t>
  </si>
  <si>
    <t>CDI</t>
  </si>
  <si>
    <t>2-EMPLOYE</t>
  </si>
  <si>
    <t>3-TAM</t>
  </si>
  <si>
    <t>4-CADRE</t>
  </si>
  <si>
    <t>Direction</t>
  </si>
  <si>
    <t>DATE EMBAUCHE</t>
  </si>
  <si>
    <t>EMPLOI</t>
  </si>
  <si>
    <t>CONTRAT</t>
  </si>
  <si>
    <t>technicien</t>
  </si>
  <si>
    <t>HORAIRES</t>
  </si>
  <si>
    <t>NUIT</t>
  </si>
  <si>
    <t>JOURNEE</t>
  </si>
  <si>
    <t>Tranches rémunération</t>
  </si>
  <si>
    <t>TOTAL</t>
  </si>
  <si>
    <t>Démission</t>
  </si>
  <si>
    <t>Retraite</t>
  </si>
  <si>
    <t xml:space="preserve">Fin de CDD </t>
  </si>
  <si>
    <t>Rupture conventionnelle</t>
  </si>
  <si>
    <t>Licenciement</t>
  </si>
  <si>
    <t>Employés</t>
  </si>
  <si>
    <t>Cadres</t>
  </si>
  <si>
    <t xml:space="preserve">REPARTION EN NOMBRE </t>
  </si>
  <si>
    <t xml:space="preserve">REPARTITION EN POURCENTAGE </t>
  </si>
  <si>
    <t>HEURES FORMATION</t>
  </si>
  <si>
    <t>REMUNERATION</t>
  </si>
  <si>
    <t>QUELLE EST LA REPARTITION  PAR SERVICE DES FEMMES ET DES HOMMES  ?</t>
  </si>
  <si>
    <t>QUELLE EST LA REPARTITION  PAR METIER DES FEMMES ET DES HOMMES  ?</t>
  </si>
  <si>
    <t>QUELLE EST LA REPARTITION  PAR EMPLOI DES FEMMES ET DES HOMMES  ?</t>
  </si>
  <si>
    <t>REPARTION PAR CSP</t>
  </si>
  <si>
    <t>QUELLE EST LA REPARTITION  PAR CONTRAT DES FEMMES ET DES HOMMES  ?</t>
  </si>
  <si>
    <t>QUELLE EST LA REPARTITION  PAR AGE DES FEMMES ET DES HOMMES  ?</t>
  </si>
  <si>
    <t>MOYENNE D'AGE</t>
  </si>
  <si>
    <t>Moyenne sur age</t>
  </si>
  <si>
    <t>QUELLE EST LA REPARTITION PAR DUREE DU TRAVAIL DES FEMMES ET DES HOMMES ?</t>
  </si>
  <si>
    <t>REPARTION PAR CATEGORIE</t>
  </si>
  <si>
    <t>QUELLE EST LA REPARTITION PAR ORGANISATION DU TRAVAIL DES FEMMES ET DES HOMMES ?</t>
  </si>
  <si>
    <t>QUELLE EST LA REPARTITION  DES EMBAUCHES PAR CATEGORIE DES FEMMES ET DES HOMMES  ?</t>
  </si>
  <si>
    <t>QUELLE EST LA REPARTITION DES PROMOTIONS ENTRE LES FEMMES ET LES HOMMES ?</t>
  </si>
  <si>
    <t>REPARTITION PAR SEXE DES PROMOTIONS</t>
  </si>
  <si>
    <t>QUELLE EST LA REPARTITION  PAR TRANCHE D'ANCIENNETE DES FEMMES ET DES HOMMES  ?</t>
  </si>
  <si>
    <t>MOYENNE D'ANCIENNETE</t>
  </si>
  <si>
    <t>moy d'ancienneté</t>
  </si>
  <si>
    <t>REPARTITION PAR SEXE DES TRANCHES D'ANCIENNETE</t>
  </si>
  <si>
    <t>QUELLE EST LA REPARTITION  DE LA REMUNERATION DES FEMMES ET DES HOMMES  ?</t>
  </si>
  <si>
    <t>MOY REMUNERATION</t>
  </si>
  <si>
    <t>QUELLE EST LA REPARTITION DES ACCIDENTS DE TRAVAIL ENTRE LES FEMMES ET LES HOMMES ?</t>
  </si>
  <si>
    <t>QUELLE EST LA REPARTITION DES MALADIES PROFESSIONNELLES ENTRE LES FEMMES ET LES HOMMES ?</t>
  </si>
  <si>
    <t>QUELLE EST LA REPARTITION  DES NIVEAUX DE CLASSIFICATION (COEFFICIENTS) DES FEMMES ET DES HOMMES  ?</t>
  </si>
  <si>
    <t>RÉPARTITION DES EMBAUCHES PAR TYPE DE CONTRAT</t>
  </si>
  <si>
    <t>CONDITIONS DE TRAVAIL</t>
  </si>
  <si>
    <t>Effectif</t>
  </si>
  <si>
    <t>Congé parental</t>
  </si>
  <si>
    <t>Total des absences &gt; 6 mois</t>
  </si>
  <si>
    <t>Ouvriers</t>
  </si>
  <si>
    <t>Ouvriers 
qualifiés</t>
  </si>
  <si>
    <t>Agents 
de maitrise</t>
  </si>
  <si>
    <t>Manutention manuelles de charges</t>
  </si>
  <si>
    <t>Postures pénibles</t>
  </si>
  <si>
    <t>Vibrations mécaniques</t>
  </si>
  <si>
    <t>Agents chimiques dangereux</t>
  </si>
  <si>
    <t>Activités en milieu hyperbare</t>
  </si>
  <si>
    <t>Températures extrêmes</t>
  </si>
  <si>
    <t>Bruit</t>
  </si>
  <si>
    <t>Travail de nuit</t>
  </si>
  <si>
    <t>Travail en équipe successives alternantes</t>
  </si>
  <si>
    <t>Travail répétitif</t>
  </si>
  <si>
    <t>total</t>
  </si>
  <si>
    <t>CONGES PATERNITE MATERNITE ADOPTION PRIS PAR RAPPORT A CONGES THEORIQUES</t>
  </si>
  <si>
    <t xml:space="preserve">EXISTENCE D'UN COMPLEMENT DE SALAIRE VERSE PAR L'EMPLOYEUR POUR : </t>
  </si>
  <si>
    <t>LE CONGES PATERNITE</t>
  </si>
  <si>
    <t>LE CONGES MATERNITE</t>
  </si>
  <si>
    <t>LE CONGES D'ADOPTION</t>
  </si>
  <si>
    <t>OUI</t>
  </si>
  <si>
    <t>NON</t>
  </si>
  <si>
    <t>Utilisés</t>
  </si>
  <si>
    <t>Théoriques</t>
  </si>
  <si>
    <t>EXISTENCE DE FORMULES D'ORGANISATION DES TEMPS FACILITANT L'ARTICULATION DE LA VIE FAMILIALE ET DE LA VIE PROFESSIONNELLE</t>
  </si>
  <si>
    <t xml:space="preserve">PARTICIPATION DE L'ENTREPRISE ET DU CE AUX MODES D'ACCUEIL DE LA PETITE ENFANCE </t>
  </si>
  <si>
    <t>MONTANT DES DEPENSES ELIGIBLES AU CREDIT D'IMPOT FAMILLE</t>
  </si>
  <si>
    <t>ARTICULATION VIE PROFESSIONNELLE ET FAMILIALE</t>
  </si>
  <si>
    <t>COMMENTAIRES (détailler les formules mises en place)</t>
  </si>
  <si>
    <t xml:space="preserve">Date de référence : </t>
  </si>
  <si>
    <t xml:space="preserve">REPARTITION SEXUEE DES CONGES SUPERIEURS A 6 MOIS </t>
  </si>
  <si>
    <t>Données</t>
  </si>
  <si>
    <t>NB sur NOM2</t>
  </si>
  <si>
    <t>Total NB sur NOM</t>
  </si>
  <si>
    <t>Total NB sur NOM2</t>
  </si>
  <si>
    <t>NOMBRE DE SALARIES AYANT ACCES A UN TEMPS PARTIEL CHOISI DANS L'ANNEE</t>
  </si>
  <si>
    <t>REMUNERATION MOYENNE</t>
  </si>
  <si>
    <t>NOMBRE D'ACCIDENTS DU TRAVAIL</t>
  </si>
  <si>
    <t>NOMBRE DE MALADIES PROFESSIONNELLES</t>
  </si>
  <si>
    <t>OUI / NON</t>
  </si>
  <si>
    <t>…</t>
  </si>
  <si>
    <r>
      <t xml:space="preserve">Congés Paternité
</t>
    </r>
    <r>
      <rPr>
        <b/>
        <i/>
        <sz val="8"/>
        <rFont val="Arial"/>
        <family val="2"/>
      </rPr>
      <t>(11 jours par enfants)</t>
    </r>
  </si>
  <si>
    <t>Nombre de passages 
Temps partiel choisi</t>
  </si>
  <si>
    <t>Nombre de temps partiel choisis ayant rempli un temps plein d'an l'année</t>
  </si>
  <si>
    <t xml:space="preserve">COMMENTAIRES </t>
  </si>
  <si>
    <t>Montant</t>
  </si>
  <si>
    <t xml:space="preserve">ACCORD ou PLAN D’ACTIONS FUTUR : </t>
  </si>
  <si>
    <t>Les objectifs de progression pour l’année à venir et indicateurs associés</t>
  </si>
  <si>
    <t>La définition qualitative et quantitative des mesures permettant de les atteindre</t>
  </si>
  <si>
    <t xml:space="preserve">L’évaluation de leur coût </t>
  </si>
  <si>
    <t xml:space="preserve">L’échéancier des mesures prévues </t>
  </si>
  <si>
    <t>Autres remarques</t>
  </si>
  <si>
    <t>DOMAINE N° 1 : EMBAUCHE</t>
  </si>
  <si>
    <t>DOMAINE N°2 : FORMATION</t>
  </si>
  <si>
    <t>DOMAINE N°3 : PROMOTION</t>
  </si>
  <si>
    <t xml:space="preserve">DOMAINE N°4 : QUALIFICATION </t>
  </si>
  <si>
    <t xml:space="preserve">DOMAINE N°5 : CLASSIFICATION </t>
  </si>
  <si>
    <t xml:space="preserve">DOMAINE N°6 : CONDITIONS DE TRAVAIL </t>
  </si>
  <si>
    <t>BILAN ACCORD ou PLAN D’ACTIONS DE L'ANNEE ECOULEE</t>
  </si>
  <si>
    <t xml:space="preserve">Mesures prises au cours de l’année écoulée </t>
  </si>
  <si>
    <t xml:space="preserve">Bilan des actions de l’année écoulée </t>
  </si>
  <si>
    <t xml:space="preserve">Evaluation du niveau de réalisation des objectifs sur la base des indicateurs retenus </t>
  </si>
  <si>
    <t>Explications sur les actions prévues non réalisées</t>
  </si>
  <si>
    <t>Catégorie</t>
  </si>
  <si>
    <t>REPARTITION DES EFFECTIFS PAR CATEGORIE PROFESSIONNELLE</t>
  </si>
  <si>
    <t>RÉPARTITION DES EFFECTIFS PAR SERVICE</t>
  </si>
  <si>
    <t>RÉPARTITION DES EFFECTIFS PAR METIER</t>
  </si>
  <si>
    <t>RÉPARTITION DES EFFECTIFS PAR EMPLOI</t>
  </si>
  <si>
    <t>REPARTITION DES EFFECTIFS SELON L AGE MOYEN</t>
  </si>
  <si>
    <t>REPARTITION DES EFFECTIFS PAR TYPE DE CONTRAT</t>
  </si>
  <si>
    <t>REPARTITION DU NOMBRE MOYEN D'HEURES DE FORMATION PAR SALARIE ET PAR AN</t>
  </si>
  <si>
    <t xml:space="preserve">REPARTITION DES EFFECTIFS SELON L’ANCIENNETÉ MOYENNE </t>
  </si>
  <si>
    <t>RÉPARTITION DES EFFECTIFS SELON LES NIVEAUX D’EMPLOI DANS LA CLASSIFICATION</t>
  </si>
  <si>
    <t>REPARTITION DES EFFECTIFS SELON LES ACCIDENTS DU TRAVAIL</t>
  </si>
  <si>
    <t>EMBAUCHE</t>
  </si>
  <si>
    <t>FORMATION</t>
  </si>
  <si>
    <t>REPARTITION DES EFFECTIFS SELON LES MALADIES PROFESSIONNELLES</t>
  </si>
  <si>
    <t>REPARTITION DES EFFECTIFS SELON LA DUREE DU TRAVAIL</t>
  </si>
  <si>
    <t>REPARTITION DES EFFECTIFS SELON L’ORGANISATION DU TRAVAIL</t>
  </si>
  <si>
    <t>ARTICULATION DES TEMPS</t>
  </si>
  <si>
    <t>Tableau à renseigner manuellement</t>
  </si>
  <si>
    <t xml:space="preserve">Motif de départ </t>
  </si>
  <si>
    <t>Date de sortie</t>
  </si>
  <si>
    <t>Compte épargne-temps</t>
  </si>
  <si>
    <t>COngé sabbatique</t>
  </si>
  <si>
    <t>NOMBRE DE SALARIES A TEMPS PARTIEL ETANT PASSES AU TEMPS PLEIN DANS L'ANNEE</t>
  </si>
  <si>
    <r>
      <t xml:space="preserve">REPARTITION SEXUEE DES EFFECTIFS EXPOSÉS AUX RISQUES ET PÉNIBILITÉS PAR CSP </t>
    </r>
    <r>
      <rPr>
        <b/>
        <i/>
        <sz val="10"/>
        <rFont val="Arial"/>
        <family val="2"/>
      </rPr>
      <t>(tableau demandé par le code du travail pour &gt; 300 salariés)</t>
    </r>
  </si>
  <si>
    <t xml:space="preserve">Attention: Dans le menu de tri complémentaire des TCD, sélectionner UNIQUEMENT LA VALEUR "0" le filtre "Ancienneté"
</t>
  </si>
  <si>
    <r>
      <rPr>
        <sz val="10"/>
        <rFont val="Arial"/>
        <family val="2"/>
      </rPr>
      <t>Domaine d'indicateur:</t>
    </r>
    <r>
      <rPr>
        <b/>
        <sz val="10"/>
        <rFont val="Arial"/>
        <family val="2"/>
      </rPr>
      <t xml:space="preserve"> Qualification</t>
    </r>
  </si>
  <si>
    <r>
      <rPr>
        <sz val="10"/>
        <rFont val="Arial"/>
        <family val="2"/>
      </rPr>
      <t>Domaine d'indicateur:</t>
    </r>
    <r>
      <rPr>
        <b/>
        <sz val="10"/>
        <rFont val="Arial"/>
        <family val="2"/>
      </rPr>
      <t xml:space="preserve"> Embauche</t>
    </r>
  </si>
  <si>
    <r>
      <rPr>
        <sz val="10"/>
        <rFont val="Arial"/>
        <family val="2"/>
      </rPr>
      <t>Domaine d'indicateur:</t>
    </r>
    <r>
      <rPr>
        <b/>
        <sz val="10"/>
        <rFont val="Arial"/>
        <family val="2"/>
      </rPr>
      <t xml:space="preserve"> Promotion</t>
    </r>
  </si>
  <si>
    <r>
      <rPr>
        <sz val="10"/>
        <rFont val="Arial"/>
        <family val="2"/>
      </rPr>
      <t>Domaine d'indicateur:</t>
    </r>
    <r>
      <rPr>
        <b/>
        <sz val="10"/>
        <rFont val="Arial"/>
        <family val="2"/>
      </rPr>
      <t xml:space="preserve"> Classification</t>
    </r>
  </si>
  <si>
    <r>
      <rPr>
        <sz val="10"/>
        <rFont val="Arial"/>
        <family val="2"/>
      </rPr>
      <t>Domaine d'indicateur:</t>
    </r>
    <r>
      <rPr>
        <b/>
        <sz val="10"/>
        <rFont val="Arial"/>
        <family val="2"/>
      </rPr>
      <t xml:space="preserve"> Rémunération</t>
    </r>
  </si>
  <si>
    <r>
      <rPr>
        <sz val="10"/>
        <rFont val="Arial"/>
        <family val="2"/>
      </rPr>
      <t>Domaine d'indicateur:</t>
    </r>
    <r>
      <rPr>
        <b/>
        <sz val="10"/>
        <rFont val="Arial"/>
        <family val="2"/>
      </rPr>
      <t xml:space="preserve"> Conditions de travail</t>
    </r>
  </si>
  <si>
    <r>
      <rPr>
        <sz val="10"/>
        <rFont val="Arial"/>
        <family val="2"/>
      </rPr>
      <t>Domaine d'indicateur:</t>
    </r>
    <r>
      <rPr>
        <b/>
        <sz val="10"/>
        <rFont val="Arial"/>
        <family val="2"/>
      </rPr>
      <t xml:space="preserve"> Articulation des temps</t>
    </r>
  </si>
  <si>
    <t>CP</t>
  </si>
  <si>
    <t>REPARTITION DES EFFECTIFS SELON LA REMUNERATION ET L'AGE</t>
  </si>
  <si>
    <t>NB sur NOM2 0</t>
  </si>
  <si>
    <t>NB sur NOM2 1</t>
  </si>
  <si>
    <t>NB sur NOM TC</t>
  </si>
  <si>
    <t>NB sur NOM2 TC</t>
  </si>
  <si>
    <t>NB sur NOM TP</t>
  </si>
  <si>
    <t>NB sur NOM2 TP</t>
  </si>
  <si>
    <t xml:space="preserve">PROMOTION </t>
  </si>
  <si>
    <t xml:space="preserve">QUALIFICATION </t>
  </si>
  <si>
    <t xml:space="preserve">CLASSIFICATION </t>
  </si>
  <si>
    <t>Objectif de progrès :</t>
  </si>
  <si>
    <t>Indicateur de résultat :</t>
  </si>
  <si>
    <t xml:space="preserve">Indicateur de suivi: </t>
  </si>
  <si>
    <t xml:space="preserve">DOMAINE N°8 : REMUNERATION EFFECTIVE </t>
  </si>
  <si>
    <t>DOMAINE N°9  : ARTICULATION ENTRE L’ACTIVITE PROFESSIONNELLE ET L’EXERCICE DE LA RESPONSABILITE FAMILIALE</t>
  </si>
  <si>
    <t xml:space="preserve">Action :                                                                                                       Indicateur de suivi :                                                                                                       </t>
  </si>
  <si>
    <t>DOMAINE N°9 : ARTICULATION ENTRE L’ACTIVITE PROFESSIONNELLE ET L’EXERCICE DE LA RESPONSABILITE FAMILIALE</t>
  </si>
  <si>
    <r>
      <rPr>
        <sz val="10"/>
        <rFont val="Arial"/>
        <family val="2"/>
      </rPr>
      <t>Domaine d'indicateur:</t>
    </r>
    <r>
      <rPr>
        <b/>
        <sz val="10"/>
        <rFont val="Arial"/>
        <family val="2"/>
      </rPr>
      <t xml:space="preserve"> Santé et Sécurité au travail</t>
    </r>
  </si>
  <si>
    <t xml:space="preserve">ANALYSE COMPLEMENTAIRE DU SALAIRE ET DE LA CARRIERE  </t>
  </si>
  <si>
    <t>QUELLE EST LA REPARTITION  PAR CATEGORIE PROFESSIONNELLE DES FEMMES ET DES HOMMES  ?</t>
  </si>
  <si>
    <t>MIXITE</t>
  </si>
  <si>
    <t>PARCOURS</t>
  </si>
  <si>
    <t>ARTICULATION TEMPS</t>
  </si>
  <si>
    <t>REPARTITION PAR SEXE DES EMBAUCHES PAR CATEGORIE</t>
  </si>
  <si>
    <t>REPARTITION PAR SEXE DANS LES SERVICES</t>
  </si>
  <si>
    <t>REPARTITION PAR SEXE DANS LES METIERS</t>
  </si>
  <si>
    <t>REPARTITION PAR SEXE DANS LES EMPLOIS</t>
  </si>
  <si>
    <t>REPARTITION PAR SEXE DANS LES NIVEAUX DE CLASSIFICATION</t>
  </si>
  <si>
    <t>REPARTITION PAR SEXE SELON LES DUREES DU TRAVAIL</t>
  </si>
  <si>
    <t>REPARTITION PAR SEXE SELON LES ORGANISATIONS DU TRAVAIL</t>
  </si>
  <si>
    <t>REPARTITION PAR SEXE DES ACCIDENTS DE TRAVAIL</t>
  </si>
  <si>
    <t>REPARTITION PAR SEXE DES MALADIES PROFESSIONNELLES</t>
  </si>
  <si>
    <t>REPARTITION PAR SEXE SELON LES TRANCHES DE REMUNERATION</t>
  </si>
  <si>
    <t>REPARTITION PAR SEXE SELON LES CONTRATS</t>
  </si>
  <si>
    <t>REPARTITION PAR SEXE SELON LES TRANCHES D'AGE</t>
  </si>
  <si>
    <t xml:space="preserve">REPARTITION PAR SEXE SELON LES CATEGORIES </t>
  </si>
  <si>
    <t xml:space="preserve">SECURITE  ET SANTE AU TRAVAIL </t>
  </si>
  <si>
    <t xml:space="preserve">DOMAINE N°7 : SECURITE ET SANTE AU TRAVAIL </t>
  </si>
  <si>
    <t>INDEX</t>
  </si>
  <si>
    <t>Total général</t>
  </si>
  <si>
    <t>(Tous)</t>
  </si>
  <si>
    <t>Rémunération annuelle brute en ETP</t>
  </si>
  <si>
    <t>TAUX ACTIVITE</t>
  </si>
  <si>
    <t>retour sommaire</t>
  </si>
  <si>
    <t>Tranches d'âge Index</t>
  </si>
  <si>
    <t>catégorie socioprofessionnelle (CSP)</t>
  </si>
  <si>
    <t>écart de rémunération moyenne</t>
  </si>
  <si>
    <t>écart après application du seuil de pertinence</t>
  </si>
  <si>
    <t>nombre de salariés</t>
  </si>
  <si>
    <t>validité du groupe (1=oui, 0=non)</t>
  </si>
  <si>
    <t>effectifs valides (groupes pris en compte)</t>
  </si>
  <si>
    <t>écart pondéré</t>
  </si>
  <si>
    <t>femmes</t>
  </si>
  <si>
    <t>hommes</t>
  </si>
  <si>
    <t>30 à 39 ans</t>
  </si>
  <si>
    <t>40 à 49 ans</t>
  </si>
  <si>
    <t>50 ans et plus</t>
  </si>
  <si>
    <t>ensemble des salariés</t>
  </si>
  <si>
    <t>indicateur calculable (1=oui, 0=non) :</t>
  </si>
  <si>
    <t>indicateur d'écart de rémunération (%) :</t>
  </si>
  <si>
    <t>note obtenue sur 40 :</t>
  </si>
  <si>
    <t xml:space="preserve">Les résultats apparaissent dans les cellules jaunes. Ils peuvent être accompagnés de commmentaires pour les interpréter. </t>
  </si>
  <si>
    <t>Ne renseigner les salaires moyens que lorsqu'ils sont calculés sur au moins trois personnes.</t>
  </si>
  <si>
    <t>Catégories de postes équivalents :</t>
  </si>
  <si>
    <t>4 CSP</t>
  </si>
  <si>
    <t>Par défaut, les catégories de postes équivalents sont les 4 catégories socioprofessionnelles (CSP).</t>
  </si>
  <si>
    <t>Seuil de pertinence associé :</t>
  </si>
  <si>
    <t>Par défaut, le seuil de pertinence est fixé à 5 % (pour une catégorisation en 4 CSP). Pour toute autre catégorisation, il est fixé à 2 %. Remplacer 5 % par 2 % si vous êtes dans ce cas.</t>
  </si>
  <si>
    <t xml:space="preserve">Ne pas modifier les barèmes des indicateurs. </t>
  </si>
  <si>
    <t>Indicateur 1 : écart de rémunération (%)</t>
  </si>
  <si>
    <t>Indicateur 2 : écart de taux d'augmentations individuelles (points de %)</t>
  </si>
  <si>
    <t>Indicateur 3 : écart de taux de promotion (points de %)</t>
  </si>
  <si>
    <t>Indicateur 4 : pourcentage de salariés ayant bénéficié d'une augmentation dans l'année suivant leur retour de congé maternité (%)</t>
  </si>
  <si>
    <t>Indicateur 5 : nombre de salariés du sexe sous-représenté parmi les 10 plus hautes rémunérations</t>
  </si>
  <si>
    <t>plancher</t>
  </si>
  <si>
    <t>note</t>
  </si>
  <si>
    <t>indicateur calculable (1=oui, 0=non)</t>
  </si>
  <si>
    <t>valeur de l'indicateur</t>
  </si>
  <si>
    <t>points obtenus</t>
  </si>
  <si>
    <t>nombre de points maximum de l'indicateur</t>
  </si>
  <si>
    <t>nombre de points maximum des indicateurs calculables</t>
  </si>
  <si>
    <t>1- écart de remuneration (en %)</t>
  </si>
  <si>
    <t>2- écarts d'augmentations individuelles (en points de %)</t>
  </si>
  <si>
    <t>3- écarts de promotions (en points de %)</t>
  </si>
  <si>
    <t>4- pourcentage de salariés augmentés au retour d'un congé maternité (%)</t>
  </si>
  <si>
    <t>5- nombre de salariés du sexe sous-représenté parmi les 10 plus hautes rémunérations</t>
  </si>
  <si>
    <t>Total des indicateurs calculables</t>
  </si>
  <si>
    <t>INDEX (sur 100 points)</t>
  </si>
  <si>
    <t>Direction adjoint</t>
  </si>
  <si>
    <t>En l'absence de modification de votre part, les nombres de salariés sont calculés d'après les données renseignées pour l'indicateur d'écarts de rémunération (cellules grises).</t>
  </si>
  <si>
    <t>taux d'augmentation (proportion de salariés augmentés) *</t>
  </si>
  <si>
    <t>écart de taux d'augmen-tation</t>
  </si>
  <si>
    <t>effectifs valides</t>
  </si>
  <si>
    <t>indicateur d'écart d'augmentations (points de %) :</t>
  </si>
  <si>
    <t>taux de promotion (proportion de salariés promus)</t>
  </si>
  <si>
    <t>écart de taux de promotion</t>
  </si>
  <si>
    <t>indicateur d'écart de promotions (points de %) :</t>
  </si>
  <si>
    <t>note obtenue sur 15 :</t>
  </si>
  <si>
    <t>pourcentage de salariés augmentés</t>
  </si>
  <si>
    <t>indicateur de pourcentage de salariés ayant bénéficié d'une augmentation dans l'année suivant leur retour de congé maternité (%) :</t>
  </si>
  <si>
    <t>nombre de salariés du sexe sous-représenté</t>
  </si>
  <si>
    <t>ensemble</t>
  </si>
  <si>
    <t>* Les rémunérations à considérer sont les rémunérations brutes annuelles par EQTP utilisées pour l'indicateur 1.</t>
  </si>
  <si>
    <t>indicateur du nombre de salariés du sexe sous-représenté parmi les 10 plus hautes rémunérations :</t>
  </si>
  <si>
    <t>note obtenue sur 10 :</t>
  </si>
  <si>
    <t>agent de maintenance</t>
  </si>
  <si>
    <t>support informatique</t>
  </si>
  <si>
    <t>assistante</t>
  </si>
  <si>
    <t>gestion rh</t>
  </si>
  <si>
    <t>achat</t>
  </si>
  <si>
    <t>logistique</t>
  </si>
  <si>
    <t xml:space="preserve">Cet onglet propose d'analyser le nombre de maladies professionnelles pour les femmes et pour les hommes. Mais
 l'indicateur choisi peut-être celui :
- du nombre d'arrêts pour maladie,
- du nombre de jours d'absence pour maladie,
- du nombre de maladie professionnelle ;
- le nombre et dénomination des maladies professionnelles déclarés à la sécurité sociale au cours de l'année;
- les maladies ayant donné lieu à un examen de reprise du travail ;
- l'exposition à des risques professionenls par sexe et poste.
Plus globalement, il est également possible de mesure : 
- le nombre de journées d'absence ;
- le nombre d'arrêts de travail.
Ces indicateurs sont tous présents dans le code du travail. </t>
  </si>
  <si>
    <t>TAM</t>
  </si>
  <si>
    <t>XY 1</t>
  </si>
  <si>
    <t>XX 1</t>
  </si>
  <si>
    <t>XY 2</t>
  </si>
  <si>
    <t>XX 2</t>
  </si>
  <si>
    <t>XY 3</t>
  </si>
  <si>
    <t>XX 3</t>
  </si>
  <si>
    <t>XY 4</t>
  </si>
  <si>
    <t>XX 4</t>
  </si>
  <si>
    <t>XY 5</t>
  </si>
  <si>
    <t>XX 5</t>
  </si>
  <si>
    <t>XY 6</t>
  </si>
  <si>
    <t>XX 6</t>
  </si>
  <si>
    <t>XY 7</t>
  </si>
  <si>
    <t>XX 7</t>
  </si>
  <si>
    <t>XY 8</t>
  </si>
  <si>
    <t>XX 8</t>
  </si>
  <si>
    <t>XY 9</t>
  </si>
  <si>
    <t>XY 10</t>
  </si>
  <si>
    <t>XY 11</t>
  </si>
  <si>
    <t>NOMBRE D'HOMMES</t>
  </si>
  <si>
    <t>NOMBRE DE FEMMES</t>
  </si>
  <si>
    <t>MOYENNE</t>
  </si>
  <si>
    <t xml:space="preserve">MOYENNE </t>
  </si>
  <si>
    <t>REPARTITION SELON  LE TYPE DE CONGES DONT LA DUREE EST SUPERIEURS A 6 MOIS</t>
  </si>
  <si>
    <t>CADRE LEGAL - EGALITE PROFESSIONNELLE, REMUNERATION, QUALITE DE VIE AU TRAVAIL (EPRQVT)</t>
  </si>
  <si>
    <t>PLAN D’ACTION</t>
  </si>
  <si>
    <t>Écart de rémunération F/H ;</t>
  </si>
  <si>
    <t>Écart de taux d’augmentation individuelle ;</t>
  </si>
  <si>
    <t>Écart de taux de promotion ;</t>
  </si>
  <si>
    <t>% de salariées revenues de congé maternité ayant bénéficié d’une augmentation à leur retour pendant la même période</t>
  </si>
  <si>
    <t>Actions permettant de les atteindre et indicateurs chiffrés</t>
  </si>
  <si>
    <t>Nombre de salariés du sexe sous-représenté parmi les 10 salariés ayant reçu les plus hautes rémunérations</t>
  </si>
  <si>
    <t>PRIMES, INDEMNITES ET AVANTAGES EN NATURE / ETP ANNUEL</t>
  </si>
  <si>
    <t>Index de l'égalité professionnelle : calcul et Questions/Réponses</t>
  </si>
  <si>
    <t>Décret 2019-15</t>
  </si>
  <si>
    <t>L.1142-8</t>
  </si>
  <si>
    <t>&gt; Qu’est-ce que l’Index de l’égalité professionnelle entre les hommes et les femmes ?</t>
  </si>
  <si>
    <t>&gt; Accéder au simulateur-calculateur en ligne pour calculer votre Index de l’égalité professionnelle</t>
  </si>
  <si>
    <t>&gt; Accéder au formulaire de transmission de l’Index à l’inspection du travail pour l’année 2019</t>
  </si>
  <si>
    <t>&gt; Questions - réponses sur le calcul de l’Index</t>
  </si>
  <si>
    <t>! Les entreprises de 50 à 250, n'ont pas à considérer l'indicateur d'écart de taux de promotion.</t>
  </si>
  <si>
    <t>Objectifs de Progression &amp; indicateurs chiffrés our chaque domaine.</t>
  </si>
  <si>
    <t>INDEX 50 à 250</t>
  </si>
  <si>
    <t xml:space="preserve">Les résultats apparaissent dans les cellules jaunes. Ils peuvent être accompagnés de commentaires pour les interpréter. </t>
  </si>
  <si>
    <t>nombre de salariés augmentés au cours de la période de référence *</t>
  </si>
  <si>
    <t>taux d'augmentation</t>
  </si>
  <si>
    <t>écart absolu de taux d'augmen-tation</t>
  </si>
  <si>
    <t>écart en nombre équivalent de salariés</t>
  </si>
  <si>
    <t xml:space="preserve">* Seules les augmentations individuelles du salaire de base sont à prendre en compte, qu'elles correspondent ou non à une promotion. </t>
  </si>
  <si>
    <t>Il ne faut comptabiliser les salariés augmentés que parmi ceux qui entrent dans le calcul de l'index.</t>
  </si>
  <si>
    <t>La période de référence retenue pour évaluer la présence d'augmentations peut être allongée à deux ou trois ans. Son caractère pluriannuel peut alors être révisé tous les trois ans</t>
  </si>
  <si>
    <t>écart absolu de taux d'augmentation (points de %) :</t>
  </si>
  <si>
    <t>écart en nombre équivalent de salariés :</t>
  </si>
  <si>
    <t>note correspondant à l'écart absolu de taux d'augmentation :</t>
  </si>
  <si>
    <t>note correspondant à l'écart en nombre équivalent de salariés :</t>
  </si>
  <si>
    <t>note obtenue sur 35 :</t>
  </si>
  <si>
    <t>nombre de salariés de retour de congé maternité/adoption*</t>
  </si>
  <si>
    <t xml:space="preserve">*  Les salariés à considérer sont les salariés revenus de congé maternité ou d’adoption (éventuellement prolongé par un congé parental) pendant la période de référence, et durant lequel sont intervenues des augmentations générales et/ou individuelles pour les salariés relevant de la même catégorie professionnelle, ou à défaut, pour l’ensemble des salariés de l’entreprise. Même si ces salariés ont été absents plus de la moitié de la période de référence, ils doivent être pris en compte pour le calcul de l'indicateur. </t>
  </si>
  <si>
    <t>2- écarts d'augmentations individuelles (en points de % ou en nombre équivalent de salariés)</t>
  </si>
  <si>
    <t>3- pourcentage de salariés augmentés au retour d'un congé maternité (%)</t>
  </si>
  <si>
    <t>4- nombre de salariés du sexe sous-représenté parmi les 10 plus hautes rémunérations</t>
  </si>
  <si>
    <t>Indicateur 3 : pourcentage de salariés ayant bénéficié d'une augmentation dans l'année suivant leur retour de congé maternité (%)</t>
  </si>
  <si>
    <t>Indicateur 4 : nombre de salariés du sexe sous-représenté parmi les 10 plus hautes rémunérations</t>
  </si>
  <si>
    <t>COEF BRANCHE</t>
  </si>
  <si>
    <t>NOUVELLE COTATION PROPRE</t>
  </si>
  <si>
    <t>INDEX 250 et +</t>
  </si>
  <si>
    <t>non concernées</t>
  </si>
  <si>
    <t>INDICATEURS DE L'INDEX</t>
  </si>
  <si>
    <t>Indicateur d'écart de taux d'augmentations individuelles</t>
  </si>
  <si>
    <t>Indicateur d'écart de rémunération</t>
  </si>
  <si>
    <t>note obtenue sur 20 :</t>
  </si>
  <si>
    <t>TRAME D'ACCORD ou PLAN D'ACTION</t>
  </si>
  <si>
    <t>BILAN DES ACTIONS DE L'ANNEE ECOULEE</t>
  </si>
  <si>
    <t>DIAGNOSTIC</t>
  </si>
  <si>
    <t>Base de Données Economique et Sociale (BDES)</t>
  </si>
  <si>
    <t>Retrouvez içi l'ensemble des textes de loi :</t>
  </si>
  <si>
    <t>Obligations quant au contenu des accords ou plan d'action :</t>
  </si>
  <si>
    <t>Indicateurs relatifs à l’égalité professionnelle entre les femmes et les hommes :</t>
  </si>
  <si>
    <t>Indicateurs relatifs à l'égalité à travail égal :</t>
  </si>
  <si>
    <t>Le tableau ci-dessous est produit par le Ministère du Travail</t>
  </si>
  <si>
    <t>RETOUR DE CONGE MATERNITE/ADOPTION</t>
  </si>
  <si>
    <t>Les tableaux ci-dessous sont produits par le Ministère du Travail</t>
  </si>
  <si>
    <t>Indicateur de Pourcentage de salariés ayant bénéficié d'une augmentation dans l'année suivant leur retour de congé maternité</t>
  </si>
  <si>
    <t>catégorie 1</t>
  </si>
  <si>
    <t>catégorie 2</t>
  </si>
  <si>
    <t>catégorie 3</t>
  </si>
  <si>
    <t>coef 1</t>
  </si>
  <si>
    <t>coef 2</t>
  </si>
  <si>
    <t>coef 3</t>
  </si>
  <si>
    <t>coef 4</t>
  </si>
  <si>
    <t>coef 5</t>
  </si>
  <si>
    <t xml:space="preserve">Entreprises de 50 à 250 salariés - Entreprises de 250 salariés et plus </t>
  </si>
  <si>
    <t>Choix de 3 domaines d’action pour les entreprise de moins de 300 salariés</t>
  </si>
  <si>
    <t>Choix de 4 domaines d’action pour les entreprises de 300 salariés et +</t>
  </si>
  <si>
    <t xml:space="preserve">Le domaine rémunération effective est obligatoire dans les deux cas de figure.		</t>
  </si>
  <si>
    <t>L.2312-36 : cadre supplétif de la BDES</t>
  </si>
  <si>
    <t>L.2312-21 : contenu de la négociation de la BDES</t>
  </si>
  <si>
    <t>L.2312-18 : définition de la BDES</t>
  </si>
  <si>
    <t>Publication de la note globale relative aux indicateurs suivants :</t>
  </si>
  <si>
    <t>D. 1142-2-1 : indicateurs pour les entreprises de 50 à 250</t>
  </si>
  <si>
    <t>D.1142-2 : indicateurs à calculer pour les entreprises + de 250</t>
  </si>
  <si>
    <t>R.2242-2 : Contenu de l'accord ou du plan d'action relatif à l'égalité professionnelle</t>
  </si>
  <si>
    <t>Art. L2242-8 : Pénalité relative aux obligations de moyen</t>
  </si>
  <si>
    <t>Art. L 2242,2° : Négociation de l'égalité professionnelle</t>
  </si>
  <si>
    <t xml:space="preserve">Entreprises de 50 à 250 salariés . Calcul de l'index d'égalité professionnelle femmes-hommes </t>
  </si>
  <si>
    <t>Entreprises de 250 salariés et + . Calcul de l'index d'égalité professionnelle femmes-hommes</t>
  </si>
  <si>
    <t>R.2312-9 : cadre supplétif de la BDES pour les 300 et +</t>
  </si>
  <si>
    <t>R.2312-8 : cadre supplétif de la BDES pour les moins de 300</t>
  </si>
  <si>
    <t>TYPE DE CONTRAT</t>
  </si>
  <si>
    <t>salarié</t>
  </si>
  <si>
    <t>apprenti</t>
  </si>
  <si>
    <t>contrat pro.</t>
  </si>
  <si>
    <t>mise à disposition</t>
  </si>
  <si>
    <t>expatrié</t>
  </si>
  <si>
    <t>** Les augmentations à prendre en compte sont celles qui sont intervenues soit pendant le congé maternité/adoption, soit à son retour, avant la fin de la période de référence.</t>
  </si>
  <si>
    <t>augmentés**</t>
  </si>
  <si>
    <t>nombre de salariées de retour de congé maternité/adoption*</t>
  </si>
  <si>
    <t>augmentées**</t>
  </si>
  <si>
    <t>Possibilité d'utiliser la médiane</t>
  </si>
  <si>
    <t>L.1142-9 : mesures de correction</t>
  </si>
  <si>
    <t xml:space="preserve">Répartition des effectifs selon la durée du travail : temps complet, temps partiel (compris entre 20 et 30h et autres formes de temps partiel) / sexe
Répartition des effectifs selon l'organisation du travail : travail posté, travail de nuit, horaires variables, travail atypique dont durant le week-end / sexe
Nombre de journées d'absence maladie
Nombre de journées d'absence pour maladie, accidents de travail, accident de trajet ou maladie professionnelle / sexe
Nombre et dénomination des maladies professionnelles déclarées à la sécurité sociale au cours de l'année / sexe
Nombre d'accident de trajet ayant entrapiné un arrêt de travail / sexe
Maladies ayant donné lieu à un examen de reprise du travail en application du 3°l'article R4624-22 / Sexe
Nombre d'arrêts de travail / Sexe 
Répartition des accidents par éléments matériels selon le smodalités définies au 3.2 de l'article R.2323-17 / Sexe
Accident de travail, accident de trajet et maladies professionnelles / Sexe
Nombre d'arrêts de travail maladie / Sexe
L'exposition à des risques professionels / Sexe / poste
Nombre d'accidents de travail ayant entrainé un arrêt de travail / Sexe
Les facteurs de risques professionnelles mentionnées à l'artcile L.4616-1, dont le caractère répétitif des tâches / Sexe / Poste de travail
</t>
  </si>
  <si>
    <t>9 DOMAINES D'INDICATEURS</t>
  </si>
  <si>
    <t>Indicateur d'écarts de taux de promotions</t>
  </si>
  <si>
    <t>Cadre supplétif BDES-Egalité - entreprises "d'au moins 300 salariés"</t>
  </si>
  <si>
    <t>VOIR INDICATEUR 3 - INDEX - ECART DE TAUX DE PROMOTION</t>
  </si>
  <si>
    <t>REMUNERATION MOYENNE OU MEDIANE PAR TRANCHE D'AGE ET PAR SEXE</t>
  </si>
  <si>
    <t>REMUNERATION MOYENNE OU MEDIANE PAR NIVEAU OU COEFFICIENT HIERARCHIQUE</t>
  </si>
  <si>
    <t>REMUNERATION MOYENNE OU MEDIANE PAR CSP</t>
  </si>
  <si>
    <t>SALAIRE BASE MINIMUM PAR SEXE ET PAR CSP</t>
  </si>
  <si>
    <t>Cadre supplétif BDES-Egalité - entreprises "de moins de 300 salariés"</t>
  </si>
  <si>
    <t>FRAIS DU PERSONNEL Y COMPRIS COTISATIONS SOCIALES PAR CSP ET PAR SEXE</t>
  </si>
  <si>
    <t xml:space="preserve">TRAVAIL POSTE, TRAVAIL DE NUIT, HORAIRES VARIABLES, TRAVAIL ATYPIQUE DONT TRAVAIL DURANT LE WEEK END
</t>
  </si>
  <si>
    <t>Cet onglet propose d'analyser le nombre d'accidents de travail pour les femmes et pour les hommes. Mais l'indicateur 
choisi peut-être celui :
- du nombre d'accidents de travail ;
- du nombre d'accident de trajet ;
- le nombre d'accidents de travail ayant entraîné un arrêt de travail ;
- du nombre d'accidents de trajet ayant entrainté un arrêt ;
- du nombre de jours d'absences pour accident de travail ;
- le nombre de jours d'absence pour accident de trajet ;
- répartition des accidents par éléments matériels selon les modalités définies au 3.2 de l'article R. 2323-17 par sexe. Ces indicateurs sont tous présents dans le code du travail.
Plus globalement, il est également possible de mesure : 
- le nombre de journées d'absence ;
- le nombre d'arrêts de travail.</t>
  </si>
  <si>
    <t>Cadre supplétif BDES-Egalité - entreprises "de moins 300 salariés"</t>
  </si>
  <si>
    <t>Nombre de salariés ayant accédé au temps partiel choisi / Sexe / CSP</t>
  </si>
  <si>
    <t>Evolution des dépenses éligibles au crédit d'impots famille,
Nombre de salariés à temps partiel ayant reprise un travail à temps plein / sexe / CSP
Selon le nombre et le type de congés dont la durée est supérieur à 6 mois : compte épargne temps, congés parental, congés sabbatiques / CSP
Participation de l'entreprise et du comité d'entreprise aux modes d'accueil de la petite enfance
Existence d'un complément de salaire versé par l'employeur pour le congés paternité, le congé maternité, le congé d'adoption
Nombre de salariés travaillant à temps partie / Sexe / Qualification  (R2312-8 -300 salariés)
Nombre de jours de congés paternité par le salarié par rapport au nombre de jours de congés théoriques / CSP
Existence de formules d'organisation du travail facilitant l'articulation de la vie familiale et de la vie professionnelle</t>
  </si>
  <si>
    <r>
      <t xml:space="preserve">Le tableau est produit </t>
    </r>
    <r>
      <rPr>
        <b/>
        <u/>
        <sz val="20"/>
        <color indexed="10"/>
        <rFont val="Calibri"/>
        <family val="2"/>
      </rPr>
      <t>automatiquement</t>
    </r>
    <r>
      <rPr>
        <b/>
        <sz val="20"/>
        <color indexed="10"/>
        <rFont val="Calibri"/>
        <family val="2"/>
      </rPr>
      <t xml:space="preserve"> à partir de la feuille de données. </t>
    </r>
    <r>
      <rPr>
        <b/>
        <u/>
        <sz val="20"/>
        <color indexed="10"/>
        <rFont val="Calibri"/>
        <family val="2"/>
      </rPr>
      <t>Ne rien saisir dans les cellules.</t>
    </r>
  </si>
  <si>
    <t>CALCUL AUTOMATISE DE VOTRE NOTE INDEX</t>
  </si>
  <si>
    <t>Ces tableaux ont été produits par le Ministère du Travail pour les entreprises</t>
  </si>
  <si>
    <t>au moins des actions dans 3 des 9 domaines pour les moins de 300  salariés et dans 4 des 9 domaines pour les 300 salariés et plus. Domaine de la rémunération obligatoire.</t>
  </si>
  <si>
    <t>au moins des actions dans 3 des 9 domaines pour les moins de 300  salariés et dans 4 des 9 domaines pour 300 salariés et plus. Domaine de la rémunération obligatoire.</t>
  </si>
  <si>
    <t>Egalement demandé par qualification - non proposé içi</t>
  </si>
  <si>
    <t>Egalement demandé par coefficient hiérarchique - non proposé içi</t>
  </si>
  <si>
    <t>PAR CSP ET PAR SEXE - non proposé içi</t>
  </si>
  <si>
    <t>DANS LA CSP ET PAR SEXE - non proposé içi</t>
  </si>
  <si>
    <t>DANS LE NIVEAU OU LE COLLECTIF HIERARCHIQUE ET PAR SEXE - non proposé içi</t>
  </si>
  <si>
    <t>PAR NIVEAU OU COEFFICIENT HIERARCVHQIE ET PAR SEXE - non proposé içi</t>
  </si>
  <si>
    <t>MEMO LOI</t>
  </si>
  <si>
    <t>INDIC.2 - ECARTS DE TAUX D'AUGMENTATION</t>
  </si>
  <si>
    <t>INDIC.1 - ECART DE REMUNERATION</t>
  </si>
  <si>
    <t>INDIC.3 - ECARTS DE TAUX DE PROMOTIONS</t>
  </si>
  <si>
    <t>INDIC.3 ou 4 - AUGMENTATIONS AU RETOUR DE CONGE MATERNITE</t>
  </si>
  <si>
    <t>INDIC. 4 ou 5 - 10 PLUS HAUTES REMUNERATIONS</t>
  </si>
  <si>
    <t xml:space="preserve">REMUNERATIONS </t>
  </si>
  <si>
    <t>Total</t>
  </si>
  <si>
    <t>Moyenne de REMUNERATION</t>
  </si>
  <si>
    <t>Répartition des effectifs par sexe et qualification (R2312-8 -300 salariés)</t>
  </si>
  <si>
    <t xml:space="preserve">*Répartition des effectifs par catégories professionnelles / Sexe
Age moyen par catégorie professionnel / Sexe
Age moyen par niveau ou coefficient hiérarchique / Sexe
Répartition par catégorie professionnelle selon les différents contrats de travail (CDI ou CDD) / Sexe
Répartition des embauches par catégorie professionnelle et type de contrat / Sexe
</t>
  </si>
  <si>
    <t>Analyse des écarts de salaires et de déroulement de carrière en fonction de leur âge, de leur qualification et de leur ancienneté ;
Frais de personnel y compris cotisations sociales par catégorie et par sexe 
Evolutions salariales par catégorie et par sexe (R2312-8 -300 salariés)
Salaire de base minimum par sexe et par catégorie professionnelle (R2312-8 -300 salariés)
Salaire moyen ou médian par sexe et catégorie professionnelle (R2312-8 -300 salariés)</t>
  </si>
  <si>
    <t>Description de l'évolution des taux de promotion respectifs des femmes et des hommes par métiers dans l'entreprise ;</t>
  </si>
  <si>
    <t>TEMPS</t>
  </si>
  <si>
    <t>CONDITIONS TRAVAIL</t>
  </si>
  <si>
    <t>39 INDICATEURS DE LA BDES/EGALITE + INDEX</t>
  </si>
  <si>
    <t>Observations des écarts</t>
  </si>
  <si>
    <t>Hypothèses de causes des Écarts</t>
  </si>
  <si>
    <t>Choisir 2 à 3 indicateurs par axe du Modèle Anact-Aract, couvrant de préférence les 9 domaines d'action, et analyser les en priorité</t>
  </si>
  <si>
    <t>Constats</t>
  </si>
  <si>
    <t>Hypothèses des Causes</t>
  </si>
  <si>
    <t>commentaire</t>
  </si>
  <si>
    <t>hypothèse</t>
  </si>
  <si>
    <t>Embauche</t>
  </si>
  <si>
    <t>Contrat</t>
  </si>
  <si>
    <t>Service</t>
  </si>
  <si>
    <t>Métier</t>
  </si>
  <si>
    <t>Emploi</t>
  </si>
  <si>
    <t>Catégorie pro'</t>
  </si>
  <si>
    <t>Formation</t>
  </si>
  <si>
    <t>Promotion</t>
  </si>
  <si>
    <t>Classification</t>
  </si>
  <si>
    <t>Rémunération</t>
  </si>
  <si>
    <t>Articulation temps'</t>
  </si>
  <si>
    <t>Durée du travail'</t>
  </si>
  <si>
    <t>Organisation travail'</t>
  </si>
  <si>
    <t>Accident Travail'</t>
  </si>
  <si>
    <t>Maladies professionnelles'</t>
  </si>
  <si>
    <t>(report automatique à partir des onglets)</t>
  </si>
  <si>
    <t xml:space="preserve">ANALYSE DES INDICATEURS </t>
  </si>
  <si>
    <t>INDICATEURS INDEX</t>
  </si>
  <si>
    <t>L’outil a été créé sur la base du modèle organisationnel des situations de travail femmes/hommes, du réseau Anact Aract, expérimenté et testé  depuis 2009 dans les entreprises.
Le modèle est constitué des 4 grandes causes d’inégalités structurelles des organisations de travail : la mixité, les parcours, les conditions de travail, les temps de travail. 
En agissant sur ces 4 axes, l’objectif est de viser une égalité d’accès à la Qualité de Vie au Travail des femmes et des hommes.</t>
  </si>
  <si>
    <t>sexe</t>
  </si>
  <si>
    <t>rémunération</t>
  </si>
  <si>
    <t>DIPLÔME</t>
  </si>
  <si>
    <t>Niv.3</t>
  </si>
  <si>
    <t>Niv.4</t>
  </si>
  <si>
    <t>Niv.5</t>
  </si>
  <si>
    <t>Niv.6</t>
  </si>
  <si>
    <t>Niv.7</t>
  </si>
  <si>
    <t>age</t>
  </si>
  <si>
    <t>classification</t>
  </si>
  <si>
    <t>diplôme</t>
  </si>
  <si>
    <t>EVOLUTION</t>
  </si>
  <si>
    <t>Evolution</t>
  </si>
  <si>
    <t xml:space="preserve">VOS PROJETS D'AUJOURD'HUI </t>
  </si>
  <si>
    <t>MXITE</t>
  </si>
  <si>
    <t>CONDITIONS DE TRAVAIL, SANTE AU TRAVAIL</t>
  </si>
  <si>
    <r>
      <rPr>
        <b/>
        <sz val="12"/>
        <color indexed="49"/>
        <rFont val="Ubuntu"/>
      </rPr>
      <t>Opportunité :</t>
    </r>
    <r>
      <rPr>
        <sz val="12"/>
        <rFont val="Ubuntu"/>
      </rPr>
      <t xml:space="preserve"> De nouveaux métiers apparaissent au sein de l’entreprise. Une opportunité pour développer les parcours en interne. A noter que les femmes sont cantonnées aux métiers administratifs et de la logistique ;</t>
    </r>
  </si>
  <si>
    <r>
      <rPr>
        <b/>
        <sz val="12"/>
        <color indexed="49"/>
        <rFont val="Ubuntu"/>
      </rPr>
      <t xml:space="preserve">Frein : </t>
    </r>
    <r>
      <rPr>
        <sz val="12"/>
        <rFont val="Ubuntu"/>
      </rPr>
      <t>Les temps de prise de commande sont fortement optimisés et les salariés ressentent défiance et intrusion par l’intermédiaire de certain outils de reporting</t>
    </r>
  </si>
  <si>
    <r>
      <t xml:space="preserve">Exemple - TRANSFORMATION NUMERIQUE &amp; EGALITE PROFESSIONNNELLE : </t>
    </r>
    <r>
      <rPr>
        <sz val="12"/>
        <color indexed="63"/>
        <rFont val="Ubuntu"/>
      </rPr>
      <t>Cette entreprise de commerce de produits pour maisons connectées en B to B de 5 000 salariés dont 3000 commerciaux, composée de 80% d’hommes, connaît une transformation digitale importante avec la création de plateformes de prise de commandes numériques. Elle effectue une prospective d’impact de ces transformations organisationnelles en terme d’égalité professionnelle F/H en mobilisant les 4 hypothèses du modèle organisationnel de l’égalité professionnel. Cette démarche ancrée sur les projets en cours, a du sens et  permet d’identifier les conditions pour que ce projet soit un levier d’égalité professionnelle. Ces conditions peuvent venir soutenir les actions choisies dans le cadre de l’accord ou le plan d’action, ou l’enrichir.</t>
    </r>
  </si>
  <si>
    <r>
      <rPr>
        <b/>
        <sz val="12"/>
        <color indexed="49"/>
        <rFont val="Ubuntu"/>
      </rPr>
      <t xml:space="preserve">Frein : </t>
    </r>
    <r>
      <rPr>
        <sz val="12"/>
        <rFont val="Ubuntu"/>
      </rPr>
      <t>Une forte concurrence laisse à prévoir le développement du travail de nuit pour les commandes et livraisons rapides. Les amplitudes horaires sont importantes et de vrais problématiques de déconnexion se développent. Le télétravail n’est donc pas bien reçu par l’entreprise malgré les possibilités conférées par les TIC.</t>
    </r>
  </si>
  <si>
    <r>
      <rPr>
        <b/>
        <sz val="12"/>
        <color indexed="49"/>
        <rFont val="Ubuntu"/>
      </rPr>
      <t>Opportunité :</t>
    </r>
    <r>
      <rPr>
        <sz val="12"/>
        <rFont val="Ubuntu"/>
      </rPr>
      <t xml:space="preserve"> Les outils numériques ouvrent des possibilités en termes d’amélioration des conditions de travail. </t>
    </r>
  </si>
  <si>
    <r>
      <rPr>
        <b/>
        <sz val="12"/>
        <color indexed="49"/>
        <rFont val="Ubuntu"/>
      </rPr>
      <t>Frein :</t>
    </r>
    <r>
      <rPr>
        <sz val="12"/>
        <rFont val="Ubuntu"/>
      </rPr>
      <t xml:space="preserve"> La mixité et la diversité sociale ne sont pas toujours au rendez-vous dans cette entreprise. Les fiches de postes ne sont pas encore créées pour ces nouveaux métiers. Il existe un risque d’automatisation sur certains de ces postes.</t>
    </r>
  </si>
  <si>
    <r>
      <t>2.</t>
    </r>
    <r>
      <rPr>
        <sz val="7"/>
        <color indexed="49"/>
        <rFont val="Ubuntu"/>
      </rPr>
      <t xml:space="preserve">      </t>
    </r>
    <r>
      <rPr>
        <sz val="10"/>
        <rFont val="Ubuntu"/>
      </rPr>
      <t>Anticiper les parcours, et former les salariés avec des modalités pédagogiques adaptées  ;</t>
    </r>
  </si>
  <si>
    <r>
      <t>1.</t>
    </r>
    <r>
      <rPr>
        <sz val="7"/>
        <color indexed="49"/>
        <rFont val="Ubuntu"/>
      </rPr>
      <t xml:space="preserve">      </t>
    </r>
    <r>
      <rPr>
        <sz val="10"/>
        <rFont val="Ubuntu"/>
      </rPr>
      <t>Développer les partenariats avec les Écoles pour communiquer sur les nouveaux métiers liés au numérique ;</t>
    </r>
  </si>
  <si>
    <r>
      <t>3.</t>
    </r>
    <r>
      <rPr>
        <sz val="7"/>
        <color indexed="49"/>
        <rFont val="Ubuntu"/>
      </rPr>
      <t xml:space="preserve">      </t>
    </r>
    <r>
      <rPr>
        <sz val="10"/>
        <rFont val="Ubuntu"/>
      </rPr>
      <t>Anticiper les risques professionnels potentiels liés aux nouveaux métiers notamment d’intensification ;</t>
    </r>
  </si>
  <si>
    <r>
      <t>4.</t>
    </r>
    <r>
      <rPr>
        <sz val="7"/>
        <color indexed="49"/>
        <rFont val="Ubuntu"/>
      </rPr>
      <t xml:space="preserve">      </t>
    </r>
    <r>
      <rPr>
        <sz val="10"/>
        <rFont val="Ubuntu"/>
      </rPr>
      <t>Définir une charte d’usage des TIC et droit à la déconnexion ;</t>
    </r>
  </si>
  <si>
    <r>
      <t>5.</t>
    </r>
    <r>
      <rPr>
        <sz val="7"/>
        <color indexed="49"/>
        <rFont val="Ubuntu"/>
      </rPr>
      <t xml:space="preserve">      </t>
    </r>
    <r>
      <rPr>
        <sz val="10"/>
        <rFont val="Ubuntu"/>
      </rPr>
      <t>Travail sur les classifications et les fiches de poste dans le cadre d’espaces de discussion mixtes et paritaires ;</t>
    </r>
  </si>
  <si>
    <r>
      <t>6.</t>
    </r>
    <r>
      <rPr>
        <sz val="7"/>
        <color indexed="49"/>
        <rFont val="Ubuntu"/>
      </rPr>
      <t xml:space="preserve">      </t>
    </r>
    <r>
      <rPr>
        <sz val="10"/>
        <rFont val="Ubuntu"/>
      </rPr>
      <t>Mener une véritable réflexion sur le télétravail et les activités télétravaillables ;</t>
    </r>
  </si>
  <si>
    <t>PISTES D'ACTIONS</t>
  </si>
  <si>
    <r>
      <rPr>
        <b/>
        <sz val="12"/>
        <color indexed="49"/>
        <rFont val="Ubuntu"/>
      </rPr>
      <t>Opportunité :</t>
    </r>
    <r>
      <rPr>
        <sz val="12"/>
        <rFont val="Ubuntu"/>
      </rPr>
      <t xml:space="preserve"> De nouveaux métiers apparaissent au sein de l’entreprise. Une opportunité pour développer la mixité ;</t>
    </r>
  </si>
  <si>
    <r>
      <rPr>
        <b/>
        <sz val="12"/>
        <color indexed="49"/>
        <rFont val="Ubuntu"/>
      </rPr>
      <t>Frein :</t>
    </r>
    <r>
      <rPr>
        <sz val="12"/>
        <rFont val="Ubuntu"/>
      </rPr>
      <t xml:space="preserve"> Les nouveaux métiers demandent des compétences numériques que certaines populations seniors ont à développer. Les réponses en termes d’accompagnement ne sont pas toujours adaptées aux populations. Un mix de formations en présentiel et distanciel semble important.</t>
    </r>
  </si>
  <si>
    <r>
      <rPr>
        <b/>
        <sz val="12"/>
        <color indexed="49"/>
        <rFont val="Ubuntu"/>
      </rPr>
      <t>Opportunité :</t>
    </r>
    <r>
      <rPr>
        <sz val="12"/>
        <rFont val="Ubuntu"/>
      </rPr>
      <t xml:space="preserve"> Les outils du numériques peuvent faciliter l’articulation des temps grâce au télétravail et au travail à distance, par exemple et permet d’allier Performance et Qualité de Vie au Travail pour toutes et tous ;</t>
    </r>
  </si>
  <si>
    <t>Prospectives</t>
  </si>
  <si>
    <t xml:space="preserve"> </t>
  </si>
  <si>
    <t>La loi sur les augmentations au retour de congé maternité n'a pas été appliquée à tous les salariés. Aucun point n'est accordé.</t>
  </si>
  <si>
    <t>Les salariés de retour de congé maternité ou d’adoption, durant lequel des augmentations sont intervenues, n’ont pas tous été augmentés. Aucun point n’est accordé.</t>
  </si>
  <si>
    <t>Niv.1</t>
  </si>
  <si>
    <t>Niv.2</t>
  </si>
  <si>
    <t>Niveaux</t>
  </si>
  <si>
    <t>Coef branche</t>
  </si>
  <si>
    <t>Catégorie propre</t>
  </si>
  <si>
    <t>tranche d'age</t>
  </si>
  <si>
    <t>8 : 35-39</t>
  </si>
  <si>
    <t>tranche ancienneté</t>
  </si>
  <si>
    <t>ancienneté</t>
  </si>
  <si>
    <t>9 : 40 et +</t>
  </si>
  <si>
    <t>tranche rémunération</t>
  </si>
  <si>
    <r>
      <t xml:space="preserve">Le tableau est produit </t>
    </r>
    <r>
      <rPr>
        <b/>
        <u/>
        <sz val="20"/>
        <color indexed="10"/>
        <rFont val="Arial"/>
        <family val="2"/>
      </rPr>
      <t>automatiquement</t>
    </r>
    <r>
      <rPr>
        <b/>
        <sz val="20"/>
        <color indexed="10"/>
        <rFont val="Arial"/>
        <family val="2"/>
      </rPr>
      <t xml:space="preserve"> à partir de la feuille de données. </t>
    </r>
    <r>
      <rPr>
        <b/>
        <u/>
        <sz val="20"/>
        <color indexed="10"/>
        <rFont val="Arial"/>
        <family val="2"/>
      </rPr>
      <t>Ne rien saisir dans les cellules.</t>
    </r>
  </si>
  <si>
    <r>
      <t xml:space="preserve">Le tableau est produit </t>
    </r>
    <r>
      <rPr>
        <b/>
        <u/>
        <sz val="16"/>
        <color indexed="10"/>
        <rFont val="Calibri"/>
        <family val="2"/>
      </rPr>
      <t>automatiquement</t>
    </r>
    <r>
      <rPr>
        <b/>
        <sz val="16"/>
        <color indexed="10"/>
        <rFont val="Calibri"/>
        <family val="2"/>
      </rPr>
      <t xml:space="preserve"> à partir de la feuille de données. </t>
    </r>
    <r>
      <rPr>
        <b/>
        <u/>
        <sz val="16"/>
        <color indexed="10"/>
        <rFont val="Calibri"/>
        <family val="2"/>
      </rPr>
      <t>Ne rien saisir dans les cellules.</t>
    </r>
  </si>
  <si>
    <r>
      <t xml:space="preserve">Le tableau est produit </t>
    </r>
    <r>
      <rPr>
        <b/>
        <u/>
        <sz val="16"/>
        <color indexed="10"/>
        <rFont val="Calibri"/>
        <family val="2"/>
      </rPr>
      <t>automatiquement</t>
    </r>
    <r>
      <rPr>
        <b/>
        <sz val="16"/>
        <color indexed="10"/>
        <rFont val="Calibri"/>
        <family val="2"/>
      </rPr>
      <t xml:space="preserve"> à partir de la feuille de données. </t>
    </r>
    <r>
      <rPr>
        <b/>
        <u/>
        <sz val="16"/>
        <color indexed="10"/>
        <rFont val="Calibri"/>
        <family val="2"/>
      </rPr>
      <t xml:space="preserve">Ne rien saisir dans les cellules. </t>
    </r>
    <r>
      <rPr>
        <b/>
        <u/>
        <sz val="16"/>
        <color indexed="8"/>
        <rFont val="Calibri"/>
        <family val="2"/>
      </rPr>
      <t xml:space="preserve"> </t>
    </r>
  </si>
  <si>
    <t>Pour la saisie, utiliser au maximum les listes déroulantes</t>
  </si>
  <si>
    <r>
      <rPr>
        <sz val="12"/>
        <rFont val="Arial"/>
        <family val="2"/>
      </rPr>
      <t>Domaine d'indicateur:</t>
    </r>
    <r>
      <rPr>
        <b/>
        <sz val="12"/>
        <rFont val="Arial"/>
        <family val="2"/>
      </rPr>
      <t xml:space="preserve"> Qualification</t>
    </r>
  </si>
  <si>
    <t>Filtrage des données, attention, les filtres se cumulent</t>
  </si>
  <si>
    <t>Ensemble</t>
  </si>
  <si>
    <t>AUGMEN-TATION</t>
  </si>
  <si>
    <t>Indicateur de Nombre de salariés du sexe sous-représenté parmi les  plus hautes rémunérations :</t>
  </si>
  <si>
    <t>Nombre de salariés parmi les plus hautes   et plus bassesrémunérations*</t>
  </si>
  <si>
    <t>Plus hautes rémunérations</t>
  </si>
  <si>
    <t>Plus Basses rémunérations</t>
  </si>
  <si>
    <t>Arnaud</t>
  </si>
  <si>
    <t>Ambroise</t>
  </si>
  <si>
    <t>Antoine</t>
  </si>
  <si>
    <t>Alice</t>
  </si>
  <si>
    <t>Bernard</t>
  </si>
  <si>
    <t>Cécile</t>
  </si>
  <si>
    <t>Barthélémy</t>
  </si>
  <si>
    <t>Angèle</t>
  </si>
  <si>
    <t>Alida</t>
  </si>
  <si>
    <t>Aubin</t>
  </si>
  <si>
    <t>Bruno</t>
  </si>
  <si>
    <t>Barbara</t>
  </si>
  <si>
    <t>Amandine</t>
  </si>
  <si>
    <t>Honoré</t>
  </si>
  <si>
    <t>Alix</t>
  </si>
  <si>
    <t>Alphonse</t>
  </si>
  <si>
    <t>Amédée</t>
  </si>
  <si>
    <t>Amour</t>
  </si>
  <si>
    <t>André</t>
  </si>
  <si>
    <t>Anicet</t>
  </si>
  <si>
    <t>Anthelme</t>
  </si>
  <si>
    <t>Apollinaire</t>
  </si>
  <si>
    <t>Apolline</t>
  </si>
  <si>
    <t>Aristide</t>
  </si>
  <si>
    <t>Armand</t>
  </si>
  <si>
    <t>Armel</t>
  </si>
  <si>
    <t>Arsène</t>
  </si>
  <si>
    <t>Aude</t>
  </si>
  <si>
    <t>Audrey</t>
  </si>
  <si>
    <t>Augustin</t>
  </si>
  <si>
    <t>Barnabé</t>
  </si>
  <si>
    <t>Barnard</t>
  </si>
  <si>
    <t>Basile</t>
  </si>
  <si>
    <t>Baudoin</t>
  </si>
  <si>
    <t>Béatrice</t>
  </si>
  <si>
    <t>Bénédicte</t>
  </si>
  <si>
    <t>Benjamin</t>
  </si>
  <si>
    <t>Benoît</t>
  </si>
  <si>
    <t>Benoît-Joseph</t>
  </si>
  <si>
    <t>Bérenger</t>
  </si>
  <si>
    <t>Bernadette</t>
  </si>
  <si>
    <t>Bernardin</t>
  </si>
  <si>
    <t>Bertille</t>
  </si>
  <si>
    <t>Bertrand</t>
  </si>
  <si>
    <t>Bienvenue</t>
  </si>
  <si>
    <t>Blaise</t>
  </si>
  <si>
    <t>Blandine</t>
  </si>
  <si>
    <t>Boris</t>
  </si>
  <si>
    <t>Brice</t>
  </si>
  <si>
    <t>Brigitte</t>
  </si>
  <si>
    <t>Carine</t>
  </si>
  <si>
    <t>Casimir</t>
  </si>
  <si>
    <t>Catherine</t>
  </si>
  <si>
    <t>Céline</t>
  </si>
  <si>
    <t>Charles</t>
  </si>
  <si>
    <t>Charlotte</t>
  </si>
  <si>
    <t>Christian</t>
  </si>
  <si>
    <t>Christine</t>
  </si>
  <si>
    <t>Christophe</t>
  </si>
  <si>
    <t>Claire</t>
  </si>
  <si>
    <t>Pour mettre à jour tous les tableaux de la feuille, en choisir un, et Alt-F5</t>
  </si>
  <si>
    <t>Moins de 30 ans</t>
  </si>
  <si>
    <t>Croisement</t>
  </si>
  <si>
    <t>Nouvelle cotation propre</t>
  </si>
  <si>
    <t>Valeurs</t>
  </si>
  <si>
    <t>0: -de 7 000</t>
  </si>
  <si>
    <t>1:7 000-14 000</t>
  </si>
  <si>
    <t>2:14 000-17 000</t>
  </si>
  <si>
    <t>3:17 000-20 000</t>
  </si>
  <si>
    <t>4: 20 000-23 000</t>
  </si>
  <si>
    <t>5 : + de 23 000</t>
  </si>
  <si>
    <t>Nombre de salariés</t>
  </si>
  <si>
    <t>C.S.P.</t>
  </si>
  <si>
    <t>Coeficient de branche</t>
  </si>
  <si>
    <t>Croiselment choisi</t>
  </si>
  <si>
    <t>validité du groupe (1=oui)</t>
  </si>
  <si>
    <t>Matthieu</t>
  </si>
  <si>
    <t>Ferdinand</t>
  </si>
  <si>
    <t>Sylvestre</t>
  </si>
  <si>
    <t>Florentin</t>
  </si>
  <si>
    <t>Solange</t>
  </si>
  <si>
    <t>Romaric</t>
  </si>
  <si>
    <t>Clément</t>
  </si>
  <si>
    <t>Gaétan</t>
  </si>
  <si>
    <t>Germain</t>
  </si>
  <si>
    <t>Abel</t>
  </si>
  <si>
    <t>Clotilde</t>
  </si>
  <si>
    <t>Prosper</t>
  </si>
  <si>
    <t>Venceslas</t>
  </si>
  <si>
    <t>Firmin</t>
  </si>
  <si>
    <t>Marc</t>
  </si>
  <si>
    <t>Juste</t>
  </si>
  <si>
    <t>Daniel</t>
  </si>
  <si>
    <t>Jean</t>
  </si>
  <si>
    <t>Monique</t>
  </si>
  <si>
    <t>Yves</t>
  </si>
  <si>
    <t>Aimé</t>
  </si>
  <si>
    <t>Gabin</t>
  </si>
  <si>
    <t>Gisèle</t>
  </si>
  <si>
    <t>Adeline</t>
  </si>
  <si>
    <t>Rémi</t>
  </si>
  <si>
    <t>Théophile</t>
  </si>
  <si>
    <t>Prudence</t>
  </si>
  <si>
    <t>Isabelle</t>
  </si>
  <si>
    <t>Joseph</t>
  </si>
  <si>
    <t>Wilfried</t>
  </si>
  <si>
    <t>Roger</t>
  </si>
  <si>
    <t>Evrard</t>
  </si>
  <si>
    <t>Robert</t>
  </si>
  <si>
    <t>Thibault</t>
  </si>
  <si>
    <t>Gérald</t>
  </si>
  <si>
    <t>Raoul</t>
  </si>
  <si>
    <t>Gatien</t>
  </si>
  <si>
    <t>Etienne</t>
  </si>
  <si>
    <t>Vincent</t>
  </si>
  <si>
    <t>Nestor</t>
  </si>
  <si>
    <t>Sévrin</t>
  </si>
  <si>
    <t>Gaël</t>
  </si>
  <si>
    <t>Fulbert</t>
  </si>
  <si>
    <t>Thérèse</t>
  </si>
  <si>
    <t>Léonce</t>
  </si>
  <si>
    <t>Albert</t>
  </si>
  <si>
    <t>Emile</t>
  </si>
  <si>
    <t>Honorine</t>
  </si>
  <si>
    <t>Marcelle</t>
  </si>
  <si>
    <t>Claude</t>
  </si>
  <si>
    <t>Gérard</t>
  </si>
  <si>
    <t>Denis</t>
  </si>
  <si>
    <t>Parfait</t>
  </si>
  <si>
    <t>David</t>
  </si>
  <si>
    <t>Saturnin</t>
  </si>
  <si>
    <t>Jules</t>
  </si>
  <si>
    <t>Jacqueline</t>
  </si>
  <si>
    <t>Roland</t>
  </si>
  <si>
    <t>Judith</t>
  </si>
  <si>
    <t>Françoise</t>
  </si>
  <si>
    <t>Elodie</t>
  </si>
  <si>
    <t>Emeline</t>
  </si>
  <si>
    <t>Louis</t>
  </si>
  <si>
    <t>Flora</t>
  </si>
  <si>
    <t>Ella</t>
  </si>
  <si>
    <t>Nathalie</t>
  </si>
  <si>
    <t>Adèle</t>
  </si>
  <si>
    <t>Eric</t>
  </si>
  <si>
    <t>Davy</t>
  </si>
  <si>
    <t>Reine</t>
  </si>
  <si>
    <t>Norbert</t>
  </si>
  <si>
    <t>Alban</t>
  </si>
  <si>
    <t>Julie</t>
  </si>
  <si>
    <t>Léger</t>
  </si>
  <si>
    <t>Lydie</t>
  </si>
  <si>
    <t>Richard</t>
  </si>
  <si>
    <t>Rose</t>
  </si>
  <si>
    <t>Frédéric</t>
  </si>
  <si>
    <t>Donald</t>
  </si>
  <si>
    <t>Martinien</t>
  </si>
  <si>
    <t>Lucie</t>
  </si>
  <si>
    <t>Sophie</t>
  </si>
  <si>
    <t>Nadège</t>
  </si>
  <si>
    <t>Edith</t>
  </si>
  <si>
    <t>Géraud</t>
  </si>
  <si>
    <t>Fabrice</t>
  </si>
  <si>
    <t>Marcellin</t>
  </si>
  <si>
    <t>Sébastien</t>
  </si>
  <si>
    <t>Marius</t>
  </si>
  <si>
    <t>Thècle</t>
  </si>
  <si>
    <t>Sylvie</t>
  </si>
  <si>
    <t>Delphine</t>
  </si>
  <si>
    <t>Jacques</t>
  </si>
  <si>
    <t>Dimitri</t>
  </si>
  <si>
    <t>Quentin</t>
  </si>
  <si>
    <t>Fidèle</t>
  </si>
  <si>
    <t>Jean-Baptiste</t>
  </si>
  <si>
    <t>Landry</t>
  </si>
  <si>
    <t>Inès</t>
  </si>
  <si>
    <t>Crépin</t>
  </si>
  <si>
    <t>Gilles</t>
  </si>
  <si>
    <t>Dominique</t>
  </si>
  <si>
    <t>Adelphe</t>
  </si>
  <si>
    <t>Sylvain</t>
  </si>
  <si>
    <t>Florence</t>
  </si>
  <si>
    <t>Zita</t>
  </si>
  <si>
    <t>Yvette</t>
  </si>
  <si>
    <t>Didier</t>
  </si>
  <si>
    <t>Laurent</t>
  </si>
  <si>
    <t>Rodrigue</t>
  </si>
  <si>
    <t>Larissa</t>
  </si>
  <si>
    <t>Edmond</t>
  </si>
  <si>
    <t>Henri</t>
  </si>
  <si>
    <t>Romain</t>
  </si>
  <si>
    <t>Louise</t>
  </si>
  <si>
    <t>Hyacinthe</t>
  </si>
  <si>
    <t>Renaud</t>
  </si>
  <si>
    <t>Samson</t>
  </si>
  <si>
    <t>Kévin</t>
  </si>
  <si>
    <t>Hugues</t>
  </si>
  <si>
    <t>Silvère</t>
  </si>
  <si>
    <t>Ulrich</t>
  </si>
  <si>
    <t>Ignace</t>
  </si>
  <si>
    <t>Irène</t>
  </si>
  <si>
    <t>Florent</t>
  </si>
  <si>
    <t>Olivier</t>
  </si>
  <si>
    <t>Théodore</t>
  </si>
  <si>
    <t>Victor</t>
  </si>
  <si>
    <t>Joachim</t>
  </si>
  <si>
    <t>Félix</t>
  </si>
  <si>
    <t>Nina</t>
  </si>
  <si>
    <t>Edouard</t>
  </si>
  <si>
    <t>Roméo</t>
  </si>
  <si>
    <t>Olive</t>
  </si>
  <si>
    <t>Gilbert</t>
  </si>
  <si>
    <t>Tanguy</t>
  </si>
  <si>
    <t>Romuald</t>
  </si>
  <si>
    <t>Odile</t>
  </si>
  <si>
    <t>Eugénie</t>
  </si>
  <si>
    <t>Paterne</t>
  </si>
  <si>
    <t>Denise</t>
  </si>
  <si>
    <t>Odilon</t>
  </si>
  <si>
    <t>Rolande</t>
  </si>
  <si>
    <t>Pascal</t>
  </si>
  <si>
    <t>Raymond</t>
  </si>
  <si>
    <t>François</t>
  </si>
  <si>
    <t>Jérôme</t>
  </si>
  <si>
    <t>Valérie</t>
  </si>
  <si>
    <t>Sandrine</t>
  </si>
  <si>
    <t>Alexis</t>
  </si>
  <si>
    <t>Mathilde</t>
  </si>
  <si>
    <t>Igor</t>
  </si>
  <si>
    <t>Agnès</t>
  </si>
  <si>
    <t>Ingrid</t>
  </si>
  <si>
    <t>Noël</t>
  </si>
  <si>
    <t>Fleur</t>
  </si>
  <si>
    <t>Léa</t>
  </si>
  <si>
    <t>Luc</t>
  </si>
  <si>
    <t>Elisabeth</t>
  </si>
  <si>
    <t>Guillaume</t>
  </si>
  <si>
    <t>Roseline</t>
  </si>
  <si>
    <t>Prisca</t>
  </si>
  <si>
    <t>Ghislain</t>
  </si>
  <si>
    <t>Hervé</t>
  </si>
  <si>
    <t>Modeste</t>
  </si>
  <si>
    <t>Sidoine</t>
  </si>
  <si>
    <t>Martial</t>
  </si>
  <si>
    <t>Irénée</t>
  </si>
  <si>
    <t>Georges</t>
  </si>
  <si>
    <t>Gaston</t>
  </si>
  <si>
    <t>Pierre</t>
  </si>
  <si>
    <t>Alexandre</t>
  </si>
  <si>
    <t>Maurice</t>
  </si>
  <si>
    <t>Pacôme</t>
  </si>
  <si>
    <t>Hermann</t>
  </si>
  <si>
    <t>Agathe</t>
  </si>
  <si>
    <t>Hélène</t>
  </si>
  <si>
    <t>Victorien</t>
  </si>
  <si>
    <t>Geneviève</t>
  </si>
  <si>
    <t>Achille</t>
  </si>
  <si>
    <t>Colette</t>
  </si>
  <si>
    <t>Narcisse</t>
  </si>
  <si>
    <t>Damien</t>
  </si>
  <si>
    <t>Rosine</t>
  </si>
  <si>
    <t>Isidore</t>
  </si>
  <si>
    <t>Emilie</t>
  </si>
  <si>
    <t>Alain</t>
  </si>
  <si>
    <t>Julienne</t>
  </si>
  <si>
    <t>Natacha</t>
  </si>
  <si>
    <t>Lucien</t>
  </si>
  <si>
    <t>Stanislas</t>
  </si>
  <si>
    <t>Léon</t>
  </si>
  <si>
    <t>Jude</t>
  </si>
  <si>
    <t>Marcel</t>
  </si>
  <si>
    <t>Gildas</t>
  </si>
  <si>
    <t>Patrice</t>
  </si>
  <si>
    <t>Elisée</t>
  </si>
  <si>
    <t>René</t>
  </si>
  <si>
    <t>Fernand</t>
  </si>
  <si>
    <t>Rosalie</t>
  </si>
  <si>
    <t>Raïssa</t>
  </si>
  <si>
    <t>Marie</t>
  </si>
  <si>
    <t>Urbain</t>
  </si>
  <si>
    <t>Mélaine</t>
  </si>
  <si>
    <t>Thierry</t>
  </si>
  <si>
    <t>Tatiana</t>
  </si>
  <si>
    <t>Mariette</t>
  </si>
  <si>
    <t>Hubert</t>
  </si>
  <si>
    <t>Clémence</t>
  </si>
  <si>
    <t>Guy</t>
  </si>
  <si>
    <t>Vivien</t>
  </si>
  <si>
    <t>Michel</t>
  </si>
  <si>
    <t>Marina</t>
  </si>
  <si>
    <t>Marguerite</t>
  </si>
  <si>
    <t>Donatien</t>
  </si>
  <si>
    <t>Valentin</t>
  </si>
  <si>
    <t>Clarisse</t>
  </si>
  <si>
    <t>Gontran</t>
  </si>
  <si>
    <t>Jeanne</t>
  </si>
  <si>
    <t>Ninon</t>
  </si>
  <si>
    <t>Pélagie</t>
  </si>
  <si>
    <t>Gautier</t>
  </si>
  <si>
    <t>Pauline</t>
  </si>
  <si>
    <t>Grégoire</t>
  </si>
  <si>
    <t>Gwladys</t>
  </si>
  <si>
    <t>Edwige</t>
  </si>
  <si>
    <t>Germaine</t>
  </si>
  <si>
    <t>Guénolé</t>
  </si>
  <si>
    <t>Juliette</t>
  </si>
  <si>
    <t>Estelle</t>
  </si>
  <si>
    <t>Justine</t>
  </si>
  <si>
    <t>Viviane</t>
  </si>
  <si>
    <t>Serge</t>
  </si>
  <si>
    <t>Geoffroy</t>
  </si>
  <si>
    <t>Matthias</t>
  </si>
  <si>
    <t>Paule</t>
  </si>
  <si>
    <t>Véronique</t>
  </si>
  <si>
    <t>Maxime</t>
  </si>
  <si>
    <t>Habib</t>
  </si>
  <si>
    <t>Fiacre</t>
  </si>
  <si>
    <t>Julien</t>
  </si>
  <si>
    <t>Constantin</t>
  </si>
  <si>
    <t>Martine</t>
  </si>
  <si>
    <t>Aimée</t>
  </si>
  <si>
    <t>Cyrille</t>
  </si>
  <si>
    <t>Marthe</t>
  </si>
  <si>
    <t>Justin</t>
  </si>
  <si>
    <t>Hippolyte</t>
  </si>
  <si>
    <t>Sabine</t>
  </si>
  <si>
    <t>Félicité</t>
  </si>
  <si>
    <t>Thomas</t>
  </si>
  <si>
    <t>Nicolas</t>
  </si>
  <si>
    <t>Ida</t>
  </si>
  <si>
    <t>Lazare</t>
  </si>
  <si>
    <t>Emma</t>
  </si>
  <si>
    <t>18441,71692</t>
  </si>
  <si>
    <t>Effectif total</t>
  </si>
  <si>
    <t>Moyenne  Rémunération annuelle brute ETP</t>
  </si>
  <si>
    <t>Total 50 ans et plus</t>
  </si>
  <si>
    <t>effectif CDD</t>
  </si>
  <si>
    <t>effectif CDI</t>
  </si>
  <si>
    <t>effectif Contrat Aidé</t>
  </si>
  <si>
    <t>Total effectif</t>
  </si>
  <si>
    <t>effectif</t>
  </si>
  <si>
    <t>%age CDD</t>
  </si>
  <si>
    <t>%age CDI</t>
  </si>
  <si>
    <t>%age Contrat Aidé</t>
  </si>
  <si>
    <t>Total %age</t>
  </si>
  <si>
    <t>%age</t>
  </si>
  <si>
    <t>Barème</t>
  </si>
  <si>
    <t>Promotions</t>
  </si>
  <si>
    <t>Promotion  0</t>
  </si>
  <si>
    <t>Promotion  1</t>
  </si>
  <si>
    <t xml:space="preserve">Total Promotion </t>
  </si>
  <si>
    <t xml:space="preserve">Promotion </t>
  </si>
  <si>
    <t>QUELLE EST LA REPARTITION  PAR FORMATION DES FEMMES ET DES HOMMES  ?</t>
  </si>
  <si>
    <r>
      <rPr>
        <sz val="10"/>
        <rFont val="Arial"/>
        <family val="2"/>
      </rPr>
      <t>Domaine d'indicateur:</t>
    </r>
    <r>
      <rPr>
        <b/>
        <sz val="10"/>
        <rFont val="Arial"/>
        <family val="2"/>
      </rPr>
      <t xml:space="preserve"> Formation</t>
    </r>
  </si>
  <si>
    <t>MOYENNE D'HEURES DE FORMATION PAR SEXE</t>
  </si>
  <si>
    <t>TOTAL D'HEURES DE FORMATION PAR SEXE</t>
  </si>
  <si>
    <t>HEURES DE FORMATION PAR TYPES D'ACTION</t>
  </si>
  <si>
    <t>NIVEAU INITIAL DE FORMATION / AGE /SEXE</t>
  </si>
  <si>
    <t>Cadre supplétif BDES-Egalité - entreprises de moins de 300 salariés</t>
  </si>
  <si>
    <t>TYPE D'ACTION DE FORMATION</t>
  </si>
  <si>
    <t>Adaptation au poste</t>
  </si>
  <si>
    <t>Maintien dans l'emploi</t>
  </si>
  <si>
    <t>Développement des compétences</t>
  </si>
  <si>
    <t>Possibilité d'intégrer une collonne supplémentaire dans la feuile de données et créer un TCD</t>
  </si>
  <si>
    <t>OUVRIER</t>
  </si>
  <si>
    <t>EMPLOYE</t>
  </si>
  <si>
    <t>CADRE</t>
  </si>
  <si>
    <t>REPARTITION EN POURCENTAGE</t>
  </si>
  <si>
    <t>Somme de HEURES FORMATION</t>
  </si>
  <si>
    <t>Moyenne de HEURES FORMATION</t>
  </si>
  <si>
    <t>Total 40 à 49 ans</t>
  </si>
  <si>
    <t>Total 30 à 39 ans</t>
  </si>
  <si>
    <t>Total Moins de 30 ans</t>
  </si>
  <si>
    <t>Effectif F</t>
  </si>
  <si>
    <t>Effectif H</t>
  </si>
  <si>
    <t>Total Effectif</t>
  </si>
  <si>
    <t>Effectif % F</t>
  </si>
  <si>
    <t>Effectif % H</t>
  </si>
  <si>
    <t>Total Effectif %</t>
  </si>
  <si>
    <t>Effectif %</t>
  </si>
  <si>
    <t>Total Nb mal prof</t>
  </si>
  <si>
    <t>Nb mal prof</t>
  </si>
  <si>
    <t xml:space="preserve">Total Nb mal prof </t>
  </si>
  <si>
    <t xml:space="preserve">Nb mal prof </t>
  </si>
  <si>
    <t>affichage</t>
  </si>
  <si>
    <t>Tous les calculs</t>
  </si>
  <si>
    <t>ICI</t>
  </si>
  <si>
    <t>Clic-droit</t>
  </si>
  <si>
    <t>pour mettre à jour</t>
  </si>
  <si>
    <t>et tableaux</t>
  </si>
  <si>
    <t>Actualiser</t>
  </si>
  <si>
    <t>Clic-droit sur la case et "choisir "Actualiser" pour mettre à jour les indicateurs de l'ensemble de l'outil</t>
  </si>
  <si>
    <t xml:space="preserve">Emploi </t>
  </si>
  <si>
    <t xml:space="preserve">Emploi  </t>
  </si>
  <si>
    <t>Clic-droit sur la case et choisir "Actualiser" pour mettre à jour le tableau</t>
  </si>
  <si>
    <t>Ce choix se fait sur la feuille précédente "Indic.1 Ecart Rémunération"</t>
  </si>
  <si>
    <t>Ce choix se fait sur une feuille précédente "Indic.1 Ecart Rémunération"</t>
  </si>
  <si>
    <t xml:space="preserve">RÉPARTITION DES PROMOTIONS </t>
  </si>
  <si>
    <t>Effectifs par âge, sexe et niveau initial de formation (R2312-8 -300 salariés)</t>
  </si>
  <si>
    <t>Termes utilisés dans les données (ne pas modifier)</t>
  </si>
  <si>
    <t>Listes de valeur recommandées pour la saisie (modifiables)</t>
  </si>
  <si>
    <t>Listes pour le calcul des tranches (modifiables)</t>
  </si>
  <si>
    <t>Ne pas modifier</t>
  </si>
  <si>
    <t>Termes réellement utilisés dans les données saisies (ne pas modifier)</t>
  </si>
  <si>
    <t>Conseils d'utilisation : Reportez vous au guide d'utilisation</t>
  </si>
  <si>
    <t xml:space="preserve">DONNEES </t>
  </si>
  <si>
    <t>PRONOSTIC</t>
  </si>
  <si>
    <t>DONNEES</t>
  </si>
  <si>
    <t>SOMMAIRE - OUTIL DIAGNOSTIC EGALITE - INDEX</t>
  </si>
  <si>
    <t>APPROCHE ANACT</t>
  </si>
  <si>
    <t>INDICATEURS BDES</t>
  </si>
  <si>
    <t xml:space="preserve">MODELE ANACT EGALITE </t>
  </si>
  <si>
    <r>
      <t xml:space="preserve">ARTICULATION DES TEMPS
</t>
    </r>
    <r>
      <rPr>
        <sz val="12"/>
        <color indexed="9"/>
        <rFont val="Arial"/>
        <family val="2"/>
      </rPr>
      <t>Nombre de salariés travaillant à temps partie / Sexe / Qualification  (R2312-8 -300 salariés)</t>
    </r>
  </si>
  <si>
    <r>
      <t>Evolution des dépenses éligibles au crédit d'impots famille,
Nombre de salariés à temps partiel ayant reprise un travail à temps plein / sexe / CSP
Selon le nombre et le type de congés dont la durée est supérieur à 6 mois : compte épargne temps, congés parental, congés sabbatiques / CSP
Participation de l'entreprise et du comité d'entreprise aux modes d'accueil de la petite enfance
Existence d'un complément de salaire versé par l'employeur pour le congés paternité, le congé maternité, le congé d'adoption
Nombre de salariés ayant accédé au temps partiel choisi / Sexe / CSP</t>
    </r>
    <r>
      <rPr>
        <sz val="14"/>
        <color indexed="62"/>
        <rFont val="Arial"/>
        <family val="2"/>
      </rPr>
      <t xml:space="preserve">
Nombre de jours de congés paternité par le salarié par rapport au nombre de jours de congés théoriques / CSP
Existence de formules d'organisation du travail facilitant l'articulation de la vie familiale et de la vie professionnelle
</t>
    </r>
  </si>
  <si>
    <r>
      <rPr>
        <b/>
        <sz val="14"/>
        <color indexed="14"/>
        <rFont val="Arial"/>
        <family val="2"/>
      </rPr>
      <t>**Ecart de taux d'augmentation / CSP / Sexe</t>
    </r>
    <r>
      <rPr>
        <sz val="14"/>
        <color indexed="49"/>
        <rFont val="Arial"/>
        <family val="2"/>
      </rPr>
      <t xml:space="preserve">
</t>
    </r>
    <r>
      <rPr>
        <sz val="14"/>
        <color indexed="62"/>
        <rFont val="Arial"/>
        <family val="2"/>
      </rPr>
      <t>Ancienneté moyenne dans le niveau ou le collectif hiérarchique / Sexe
Ancienneté moyenne dans la catégorie professionnelle / Sexe
Répartition  par type de formation : adaptation au poste, maintien dnas l'emploi, développement des compétences / CSP / Sexe
Rémunération moyenne ou médiane mensuelle par tranche d'âge / Sexe</t>
    </r>
    <r>
      <rPr>
        <sz val="14"/>
        <color indexed="49"/>
        <rFont val="Arial"/>
        <family val="2"/>
      </rPr>
      <t xml:space="preserve">
</t>
    </r>
    <r>
      <rPr>
        <b/>
        <sz val="14"/>
        <color indexed="14"/>
        <rFont val="Arial"/>
        <family val="2"/>
      </rPr>
      <t>Nombre de femmes dans les 10 plus hautes rémunérations / Sexe</t>
    </r>
    <r>
      <rPr>
        <sz val="14"/>
        <color indexed="49"/>
        <rFont val="Arial"/>
        <family val="2"/>
      </rPr>
      <t xml:space="preserve">
</t>
    </r>
    <r>
      <rPr>
        <sz val="14"/>
        <color indexed="62"/>
        <rFont val="Arial"/>
        <family val="2"/>
      </rPr>
      <t>Nombre et taux de promotion par catégorie professionnelle / Sexe
Rémunération moyenne ou médiane mensuelle par niveau ou coefficient hiérarchique / Sexe
Durée moyenne entre 2 promotions / Sexe
Nombre moyen d'heures d'actions de formation par salarié et par an / CSP / Sexe
Rémunération moyenne ou médiane mensuelle par catégorie professionnelle / Sexe
Répartition des départs par catégorie professionnelle et motifs : retraite, démission, fin de contrat de travial à durée déterminée, licemenciement / Sexe
Répartition des effectifs par niveau ou coefficient hiérarchique / Sexe
Ancienneté moyenne par niveau ou coefficient hiérachique / Sexe</t>
    </r>
    <r>
      <rPr>
        <sz val="14"/>
        <color indexed="49"/>
        <rFont val="Arial"/>
        <family val="2"/>
      </rPr>
      <t xml:space="preserve">
</t>
    </r>
    <r>
      <rPr>
        <b/>
        <sz val="14"/>
        <color indexed="14"/>
        <rFont val="Arial"/>
        <family val="2"/>
      </rPr>
      <t xml:space="preserve">Ecart de Rémunération / CSP / Tranche d'âge / Sexe
Ecart de taux de promotion / CSP / Sexe
</t>
    </r>
    <r>
      <rPr>
        <b/>
        <sz val="14"/>
        <color indexed="49"/>
        <rFont val="Arial"/>
        <family val="2"/>
      </rPr>
      <t>Nuage de points Age/Rémunération/Sexe</t>
    </r>
    <r>
      <rPr>
        <b/>
        <sz val="14"/>
        <color indexed="14"/>
        <rFont val="Arial"/>
        <family val="2"/>
      </rPr>
      <t xml:space="preserve">
</t>
    </r>
  </si>
  <si>
    <t xml:space="preserve">APPROCHE EGALITE ANACT </t>
  </si>
  <si>
    <t>OUTIL DIAGNOSTIC EGALITE - INDEX</t>
  </si>
  <si>
    <t>Rappelons qu’en matière d’Égalité Professionnelle, il s’agit de construire un plan d’action à partir des 3 ou 4 domaines d’actions prioritaires ( avec des objectifs de progression, indicateurs chiffrés, actions permettant de les atteindre).
Aussi l’outil propose d’outiller l’amont du processus permettant de cheminer des causes aux actions.
Les 4 axes permettent de rassembler des données et des indicateurs pour observer d’éventuels écarts et étayer les causes avec des données qualitatives complémentaires.</t>
  </si>
  <si>
    <t>INDEX Egalité</t>
  </si>
  <si>
    <t>EGALITE PROFESSIONNELLE</t>
  </si>
  <si>
    <r>
      <t xml:space="preserve">Calculs </t>
    </r>
    <r>
      <rPr>
        <u/>
        <sz val="20"/>
        <color indexed="10"/>
        <rFont val="Calibri"/>
        <family val="2"/>
      </rPr>
      <t>automatiques</t>
    </r>
    <r>
      <rPr>
        <sz val="20"/>
        <color indexed="10"/>
        <rFont val="Calibri"/>
        <family val="2"/>
      </rPr>
      <t>, ne pas remplir les cellules, ne pas modifier les formules.</t>
    </r>
  </si>
  <si>
    <r>
      <t xml:space="preserve">Calculs </t>
    </r>
    <r>
      <rPr>
        <u/>
        <sz val="20"/>
        <color indexed="10"/>
        <rFont val="Calibri"/>
        <family val="2"/>
      </rPr>
      <t>automatiques,</t>
    </r>
    <r>
      <rPr>
        <sz val="20"/>
        <color indexed="10"/>
        <rFont val="Calibri"/>
        <family val="2"/>
      </rPr>
      <t xml:space="preserve"> ne pas remplir les cellules, ne pas modifier les formules.</t>
    </r>
  </si>
  <si>
    <t>Pistes d'actions</t>
  </si>
  <si>
    <t>Ne pas suppimer cette donnée</t>
  </si>
  <si>
    <t>SOMMAIRE</t>
  </si>
  <si>
    <t>Note INDEX et Barème INDEX</t>
  </si>
  <si>
    <t>indicateur 1</t>
  </si>
  <si>
    <t>indicateur 2</t>
  </si>
  <si>
    <t>indicateur 3</t>
  </si>
  <si>
    <t>indicateur 3 ou 4</t>
  </si>
  <si>
    <t>indicateur 4 ou 5</t>
  </si>
  <si>
    <t>PARAMETRES</t>
  </si>
  <si>
    <t>Cet exercice de prospective des impacts permet de contextualiser le diagnostic EGALITE - INDEX</t>
  </si>
  <si>
    <t>Quels sont les freins et les opportunités des projets  pour l'égalité ?</t>
  </si>
  <si>
    <t>A partir des indicateurs analysé dans les onglets correspondants, vous pouvez apporter des informations complémentaires, et ainsi indentifier des pistes d'actions, que vous développerez dans un plan d'action.</t>
  </si>
  <si>
    <t>Catégories de postes équivalents</t>
  </si>
  <si>
    <t xml:space="preserve">VOIR INDICATEURS DE L'INDEX </t>
  </si>
  <si>
    <t>k</t>
  </si>
  <si>
    <t>TELETRAVAIL</t>
  </si>
  <si>
    <t>0-1</t>
  </si>
  <si>
    <t>0-2</t>
  </si>
  <si>
    <t>0-3</t>
  </si>
  <si>
    <t>0-4</t>
  </si>
  <si>
    <t>0-5</t>
  </si>
  <si>
    <t>0-8</t>
  </si>
  <si>
    <t>Étiquettes de lignes</t>
  </si>
  <si>
    <t>Étiquettes de colonnes</t>
  </si>
  <si>
    <t>Nombre de NOM</t>
  </si>
  <si>
    <t>REPARTITION PAR SEXE DES FORMULES DE TELETRAVAIL</t>
  </si>
  <si>
    <r>
      <rPr>
        <sz val="12"/>
        <rFont val="Arial"/>
        <family val="2"/>
      </rPr>
      <t>Domaine d'indicateur:</t>
    </r>
    <r>
      <rPr>
        <b/>
        <sz val="12"/>
        <rFont val="Arial"/>
        <family val="2"/>
      </rPr>
      <t xml:space="preserve"> Articulation des temps</t>
    </r>
  </si>
  <si>
    <t>QUELLE EST LA REPARTITION  DES FEMMES ET DES HOMMES EN TELETRAVAIL ?</t>
  </si>
  <si>
    <t>Information Complémentaires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</si>
</sst>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 #,##0.00_)_ ;_ * \(#,##0.00\)_ ;_ * &quot;-&quot;??_)_ ;_ @_ "/>
    <numFmt numFmtId="164" formatCode="_-* #,##0\ _€_-;\-* #,##0\ _€_-;_-* &quot;-&quot;\ _€_-;_-@_-"/>
    <numFmt numFmtId="165" formatCode="d/m/yyyy"/>
    <numFmt numFmtId="166" formatCode="_-* #,##0_€_-;\-* #,##0_€_-;_-* &quot;-&quot;??_€_-;_-@_-"/>
    <numFmt numFmtId="167" formatCode="0.0"/>
    <numFmt numFmtId="168" formatCode="0.0%"/>
    <numFmt numFmtId="169" formatCode="_ * #,##0_)_ ;_ * \(#,##0\)_ ;_ * &quot;-&quot;??_)_ ;_ @_ "/>
    <numFmt numFmtId="170" formatCode="#,##0;;"/>
    <numFmt numFmtId="171" formatCode="_ * #,##0.0_)_ ;_ * \(#,##0.0\)_ ;_ * &quot;-&quot;??_)_ ;_ @_ "/>
    <numFmt numFmtId="172" formatCode="General;;"/>
    <numFmt numFmtId="173" formatCode="&quot;oui&quot;;;&quot;non&quot;"/>
  </numFmts>
  <fonts count="243">
    <font>
      <sz val="10"/>
      <name val="Arial"/>
      <family val="2"/>
    </font>
    <font>
      <sz val="10"/>
      <name val="Times New Roman"/>
      <family val="1"/>
    </font>
    <font>
      <sz val="8"/>
      <name val="Times New Roman"/>
      <family val="1"/>
    </font>
    <font>
      <sz val="10"/>
      <name val="Arial"/>
      <family val="2"/>
    </font>
    <font>
      <b/>
      <sz val="10"/>
      <color indexed="10"/>
      <name val="Arial"/>
      <family val="2"/>
    </font>
    <font>
      <b/>
      <sz val="10"/>
      <name val="Arial"/>
      <family val="2"/>
    </font>
    <font>
      <i/>
      <sz val="9"/>
      <name val="Verdana"/>
      <family val="2"/>
    </font>
    <font>
      <i/>
      <sz val="10"/>
      <name val="Times New Roman"/>
      <family val="1"/>
    </font>
    <font>
      <b/>
      <sz val="10"/>
      <name val="Verdana"/>
      <family val="2"/>
    </font>
    <font>
      <i/>
      <sz val="10"/>
      <name val="Arial"/>
      <family val="2"/>
    </font>
    <font>
      <sz val="10"/>
      <color indexed="8"/>
      <name val="Arial"/>
      <family val="2"/>
    </font>
    <font>
      <b/>
      <sz val="11"/>
      <color indexed="10"/>
      <name val="Arial"/>
      <family val="2"/>
    </font>
    <font>
      <sz val="11"/>
      <name val="Arial"/>
      <family val="2"/>
    </font>
    <font>
      <b/>
      <sz val="12"/>
      <name val="Arial"/>
      <family val="2"/>
    </font>
    <font>
      <sz val="12"/>
      <name val="Arial"/>
      <family val="2"/>
    </font>
    <font>
      <b/>
      <sz val="11"/>
      <name val="Arial"/>
      <family val="2"/>
    </font>
    <font>
      <sz val="9"/>
      <name val="Trebuchet MS"/>
      <family val="2"/>
    </font>
    <font>
      <b/>
      <sz val="10"/>
      <color indexed="8"/>
      <name val="Arial"/>
      <family val="2"/>
    </font>
    <font>
      <b/>
      <i/>
      <sz val="8"/>
      <name val="Arial"/>
      <family val="2"/>
    </font>
    <font>
      <b/>
      <i/>
      <sz val="10"/>
      <name val="Arial"/>
      <family val="2"/>
    </font>
    <font>
      <sz val="11"/>
      <name val="Times New Roman"/>
      <family val="1"/>
    </font>
    <font>
      <sz val="14"/>
      <name val="Times New Roman"/>
      <family val="1"/>
    </font>
    <font>
      <sz val="14"/>
      <name val="Arial"/>
      <family val="2"/>
    </font>
    <font>
      <sz val="12"/>
      <name val="Times New Roman"/>
      <family val="1"/>
    </font>
    <font>
      <b/>
      <sz val="12"/>
      <color indexed="10"/>
      <name val="Arial"/>
      <family val="2"/>
    </font>
    <font>
      <b/>
      <sz val="14"/>
      <name val="Arial"/>
      <family val="2"/>
    </font>
    <font>
      <b/>
      <sz val="14"/>
      <color indexed="10"/>
      <name val="Arial"/>
      <family val="2"/>
    </font>
    <font>
      <i/>
      <sz val="12"/>
      <name val="Arial"/>
      <family val="2"/>
    </font>
    <font>
      <u/>
      <sz val="12"/>
      <name val="Arial"/>
      <family val="2"/>
    </font>
    <font>
      <sz val="16"/>
      <name val="Times New Roman"/>
      <family val="1"/>
    </font>
    <font>
      <b/>
      <sz val="20"/>
      <color indexed="10"/>
      <name val="Calibri"/>
      <family val="2"/>
    </font>
    <font>
      <b/>
      <u/>
      <sz val="20"/>
      <color indexed="10"/>
      <name val="Calibri"/>
      <family val="2"/>
    </font>
    <font>
      <sz val="10"/>
      <name val="Ubuntu"/>
    </font>
    <font>
      <b/>
      <sz val="12"/>
      <color indexed="49"/>
      <name val="Ubuntu"/>
    </font>
    <font>
      <sz val="12"/>
      <name val="Ubuntu"/>
    </font>
    <font>
      <sz val="12"/>
      <color indexed="63"/>
      <name val="Ubuntu"/>
    </font>
    <font>
      <sz val="7"/>
      <color indexed="49"/>
      <name val="Ubuntu"/>
    </font>
    <font>
      <sz val="12"/>
      <color theme="1"/>
      <name val="Calibri"/>
      <family val="2"/>
      <scheme val="minor"/>
    </font>
    <font>
      <sz val="12"/>
      <color rgb="FFFF0000"/>
      <name val="Calibri"/>
      <family val="2"/>
      <scheme val="minor"/>
    </font>
    <font>
      <b/>
      <sz val="12"/>
      <color theme="1"/>
      <name val="Calibri"/>
      <family val="2"/>
      <scheme val="minor"/>
    </font>
    <font>
      <b/>
      <sz val="10"/>
      <color theme="3" tint="-0.499984740745262"/>
      <name val="Arial"/>
      <family val="2"/>
    </font>
    <font>
      <sz val="10"/>
      <color theme="3" tint="-0.499984740745262"/>
      <name val="Times New Roman"/>
      <family val="1"/>
    </font>
    <font>
      <i/>
      <sz val="10"/>
      <color theme="3" tint="-0.499984740745262"/>
      <name val="Times New Roman"/>
      <family val="1"/>
    </font>
    <font>
      <b/>
      <sz val="10"/>
      <color theme="3" tint="-0.499984740745262"/>
      <name val="Verdana"/>
      <family val="2"/>
    </font>
    <font>
      <sz val="10"/>
      <color theme="3" tint="-0.499984740745262"/>
      <name val="Arial"/>
      <family val="2"/>
    </font>
    <font>
      <sz val="11"/>
      <color theme="3" tint="-0.499984740745262"/>
      <name val="Arial"/>
      <family val="2"/>
    </font>
    <font>
      <b/>
      <sz val="10"/>
      <color rgb="FFFF0000"/>
      <name val="Arial"/>
      <family val="2"/>
    </font>
    <font>
      <b/>
      <i/>
      <sz val="10"/>
      <color rgb="FFFF0000"/>
      <name val="Arial"/>
      <family val="2"/>
    </font>
    <font>
      <sz val="10"/>
      <color theme="1"/>
      <name val="Arial"/>
      <family val="2"/>
    </font>
    <font>
      <sz val="14"/>
      <color theme="1"/>
      <name val="Calibri"/>
      <family val="2"/>
      <scheme val="minor"/>
    </font>
    <font>
      <b/>
      <sz val="12"/>
      <name val="Calibri"/>
      <family val="2"/>
      <scheme val="minor"/>
    </font>
    <font>
      <sz val="12"/>
      <name val="Calibri"/>
      <family val="2"/>
      <scheme val="minor"/>
    </font>
    <font>
      <b/>
      <sz val="12"/>
      <color rgb="FFFFFFFF"/>
      <name val="Calibri"/>
      <family val="2"/>
      <scheme val="minor"/>
    </font>
    <font>
      <sz val="12"/>
      <color rgb="FF000000"/>
      <name val="Calibri"/>
      <family val="2"/>
      <scheme val="minor"/>
    </font>
    <font>
      <u/>
      <sz val="10"/>
      <color theme="0"/>
      <name val="Times New Roman"/>
      <family val="1"/>
    </font>
    <font>
      <sz val="10"/>
      <color rgb="FFFFC000"/>
      <name val="Times New Roman"/>
      <family val="1"/>
    </font>
    <font>
      <sz val="11"/>
      <color rgb="FFFFC000"/>
      <name val="Arial"/>
      <family val="2"/>
    </font>
    <font>
      <sz val="10"/>
      <color theme="8"/>
      <name val="Arial"/>
      <family val="2"/>
    </font>
    <font>
      <sz val="14"/>
      <color rgb="FF312B6B"/>
      <name val="Arial"/>
      <family val="2"/>
    </font>
    <font>
      <sz val="14"/>
      <color rgb="FF002060"/>
      <name val="Arial"/>
      <family val="2"/>
    </font>
    <font>
      <b/>
      <sz val="12"/>
      <color theme="8"/>
      <name val="Arial"/>
      <family val="2"/>
    </font>
    <font>
      <b/>
      <sz val="16"/>
      <color theme="1"/>
      <name val="Arial"/>
      <family val="2"/>
    </font>
    <font>
      <b/>
      <sz val="14"/>
      <color theme="0"/>
      <name val="Arial"/>
      <family val="2"/>
    </font>
    <font>
      <sz val="14"/>
      <color theme="3"/>
      <name val="Arial"/>
      <family val="2"/>
    </font>
    <font>
      <u/>
      <sz val="14"/>
      <color theme="3"/>
      <name val="Arial"/>
      <family val="2"/>
    </font>
    <font>
      <sz val="12"/>
      <color theme="3" tint="-0.499984740745262"/>
      <name val="Arial"/>
      <family val="2"/>
    </font>
    <font>
      <b/>
      <sz val="12"/>
      <color rgb="FFFFFFFF"/>
      <name val="Arial"/>
      <family val="2"/>
    </font>
    <font>
      <b/>
      <sz val="12"/>
      <color rgb="FF000000"/>
      <name val="Arial"/>
      <family val="2"/>
    </font>
    <font>
      <b/>
      <sz val="12"/>
      <color theme="0"/>
      <name val="Arial"/>
      <family val="2"/>
    </font>
    <font>
      <sz val="14"/>
      <color rgb="FFFFC000"/>
      <name val="Arial"/>
      <family val="2"/>
    </font>
    <font>
      <sz val="14"/>
      <color theme="3" tint="-0.499984740745262"/>
      <name val="Arial"/>
      <family val="2"/>
    </font>
    <font>
      <b/>
      <sz val="14"/>
      <color rgb="FF000000"/>
      <name val="Arial"/>
      <family val="2"/>
    </font>
    <font>
      <b/>
      <u/>
      <sz val="14"/>
      <color rgb="FFFF2F92"/>
      <name val="Arial"/>
      <family val="2"/>
    </font>
    <font>
      <sz val="16"/>
      <color theme="3"/>
      <name val="Arial"/>
      <family val="2"/>
    </font>
    <font>
      <u/>
      <sz val="14"/>
      <color theme="0"/>
      <name val="Arial"/>
      <family val="2"/>
    </font>
    <font>
      <sz val="12"/>
      <color theme="0"/>
      <name val="Times New Roman"/>
      <family val="1"/>
    </font>
    <font>
      <b/>
      <sz val="16"/>
      <color theme="0"/>
      <name val="Arial"/>
      <family val="2"/>
    </font>
    <font>
      <sz val="11"/>
      <name val="Calibri"/>
      <family val="2"/>
      <scheme val="minor"/>
    </font>
    <font>
      <sz val="16"/>
      <color theme="1"/>
      <name val="Calibri"/>
      <family val="2"/>
      <scheme val="minor"/>
    </font>
    <font>
      <sz val="18"/>
      <name val="Calibri"/>
      <family val="2"/>
      <scheme val="minor"/>
    </font>
    <font>
      <b/>
      <sz val="16"/>
      <color rgb="FFFF2F92"/>
      <name val="Arial"/>
      <family val="2"/>
    </font>
    <font>
      <b/>
      <sz val="16"/>
      <color rgb="FFFF0000"/>
      <name val="Calibri"/>
      <family val="2"/>
      <scheme val="minor"/>
    </font>
    <font>
      <b/>
      <sz val="18"/>
      <color rgb="FFFF0000"/>
      <name val="Calibri"/>
      <family val="2"/>
      <scheme val="minor"/>
    </font>
    <font>
      <u/>
      <sz val="14"/>
      <color rgb="FFFF2F92"/>
      <name val="Arial"/>
      <family val="2"/>
    </font>
    <font>
      <sz val="14"/>
      <color theme="0"/>
      <name val="Arial"/>
      <family val="2"/>
    </font>
    <font>
      <b/>
      <sz val="20"/>
      <color theme="8"/>
      <name val="Arial"/>
      <family val="2"/>
    </font>
    <font>
      <b/>
      <sz val="20"/>
      <color rgb="FFFF2F92"/>
      <name val="Arial"/>
      <family val="2"/>
    </font>
    <font>
      <b/>
      <i/>
      <sz val="18"/>
      <color theme="0"/>
      <name val="Arial"/>
      <family val="2"/>
    </font>
    <font>
      <sz val="14"/>
      <color rgb="FFFF2F92"/>
      <name val="Arial"/>
      <family val="2"/>
    </font>
    <font>
      <sz val="12"/>
      <color theme="3"/>
      <name val="Times New Roman"/>
      <family val="1"/>
    </font>
    <font>
      <b/>
      <sz val="16"/>
      <color theme="8"/>
      <name val="Arial"/>
      <family val="2"/>
    </font>
    <font>
      <sz val="16"/>
      <color theme="8"/>
      <name val="Arial"/>
      <family val="2"/>
    </font>
    <font>
      <b/>
      <sz val="10"/>
      <color theme="8"/>
      <name val="Arial"/>
      <family val="2"/>
    </font>
    <font>
      <b/>
      <sz val="14"/>
      <color theme="3"/>
      <name val="Arial"/>
      <family val="2"/>
    </font>
    <font>
      <sz val="18"/>
      <color theme="0"/>
      <name val="Arial"/>
      <family val="2"/>
    </font>
    <font>
      <b/>
      <sz val="18"/>
      <color theme="1"/>
      <name val="Arial"/>
      <family val="2"/>
    </font>
    <font>
      <b/>
      <sz val="22"/>
      <color rgb="FFFF2F92"/>
      <name val="Arial"/>
      <family val="2"/>
    </font>
    <font>
      <u/>
      <sz val="16"/>
      <color theme="0"/>
      <name val="Arial"/>
      <family val="2"/>
    </font>
    <font>
      <b/>
      <sz val="18"/>
      <color rgb="FFFF2F92"/>
      <name val="Arial"/>
      <family val="2"/>
    </font>
    <font>
      <sz val="10"/>
      <color theme="0"/>
      <name val="Times New Roman"/>
      <family val="1"/>
    </font>
    <font>
      <sz val="10"/>
      <color rgb="FF000000"/>
      <name val="Arial"/>
      <family val="2"/>
    </font>
    <font>
      <sz val="10"/>
      <color rgb="FF333300"/>
      <name val="Arial"/>
      <family val="2"/>
    </font>
    <font>
      <i/>
      <sz val="10"/>
      <color rgb="FFFF0000"/>
      <name val="Times New Roman"/>
      <family val="1"/>
    </font>
    <font>
      <i/>
      <sz val="10"/>
      <color theme="3" tint="-0.499984740745262"/>
      <name val="Arial"/>
      <family val="2"/>
    </font>
    <font>
      <b/>
      <u/>
      <sz val="11"/>
      <color theme="0"/>
      <name val="Arial"/>
      <family val="2"/>
    </font>
    <font>
      <sz val="11"/>
      <color theme="3" tint="-0.499984740745262"/>
      <name val="Calibri"/>
      <family val="2"/>
      <scheme val="minor"/>
    </font>
    <font>
      <b/>
      <sz val="20"/>
      <color rgb="FFFF0000"/>
      <name val="Calibri"/>
      <family val="2"/>
      <scheme val="minor"/>
    </font>
    <font>
      <sz val="14"/>
      <color theme="1"/>
      <name val="Arial"/>
      <family val="2"/>
    </font>
    <font>
      <b/>
      <sz val="10"/>
      <color theme="1"/>
      <name val="Arial"/>
      <family val="2"/>
    </font>
    <font>
      <sz val="10"/>
      <color theme="1"/>
      <name val="Times New Roman"/>
      <family val="1"/>
    </font>
    <font>
      <b/>
      <sz val="10"/>
      <color rgb="FFFF2F92"/>
      <name val="Arial"/>
      <family val="2"/>
    </font>
    <font>
      <i/>
      <sz val="10"/>
      <color theme="1"/>
      <name val="Arial"/>
      <family val="2"/>
    </font>
    <font>
      <i/>
      <sz val="9"/>
      <color theme="1"/>
      <name val="Verdana"/>
      <family val="2"/>
    </font>
    <font>
      <b/>
      <sz val="12"/>
      <color theme="8"/>
      <name val="Ubuntu"/>
    </font>
    <font>
      <b/>
      <sz val="14"/>
      <color theme="8"/>
      <name val="Ubuntu"/>
    </font>
    <font>
      <b/>
      <u/>
      <sz val="14"/>
      <color theme="0"/>
      <name val="Ubuntu"/>
    </font>
    <font>
      <b/>
      <sz val="14"/>
      <color theme="3"/>
      <name val="Ubuntu"/>
    </font>
    <font>
      <u/>
      <sz val="10"/>
      <color theme="3"/>
      <name val="Ubuntu"/>
    </font>
    <font>
      <i/>
      <sz val="10"/>
      <color theme="3"/>
      <name val="Ubuntu"/>
    </font>
    <font>
      <i/>
      <sz val="14"/>
      <color theme="0"/>
      <name val="Arial"/>
      <family val="2"/>
    </font>
    <font>
      <i/>
      <sz val="16"/>
      <color theme="3"/>
      <name val="Arial"/>
      <family val="2"/>
    </font>
    <font>
      <b/>
      <sz val="16"/>
      <color theme="8"/>
      <name val="Times New Roman"/>
      <family val="1"/>
    </font>
    <font>
      <b/>
      <sz val="20"/>
      <color theme="8"/>
      <name val="Ubuntu"/>
    </font>
    <font>
      <b/>
      <sz val="10"/>
      <color theme="8"/>
      <name val="Ubuntu"/>
    </font>
    <font>
      <b/>
      <sz val="10"/>
      <color theme="0"/>
      <name val="Ubuntu"/>
    </font>
    <font>
      <u/>
      <sz val="10"/>
      <color theme="0"/>
      <name val="Arial"/>
      <family val="2"/>
    </font>
    <font>
      <b/>
      <sz val="16"/>
      <color theme="8"/>
      <name val="Ubuntu"/>
    </font>
    <font>
      <b/>
      <sz val="12"/>
      <color theme="0"/>
      <name val="Ubuntu"/>
    </font>
    <font>
      <b/>
      <sz val="14"/>
      <color rgb="FFFFC000"/>
      <name val="Ubuntu"/>
    </font>
    <font>
      <b/>
      <sz val="26"/>
      <color theme="8"/>
      <name val="Arial"/>
      <family val="2"/>
    </font>
    <font>
      <sz val="10"/>
      <color theme="3"/>
      <name val="Times New Roman"/>
      <family val="1"/>
    </font>
    <font>
      <b/>
      <sz val="12"/>
      <color rgb="FF28B8CE"/>
      <name val="Ubuntu"/>
    </font>
    <font>
      <sz val="26"/>
      <color theme="8"/>
      <name val="Times New Roman"/>
      <family val="1"/>
    </font>
    <font>
      <sz val="12"/>
      <color theme="1"/>
      <name val="Arial"/>
      <family val="2"/>
    </font>
    <font>
      <sz val="12"/>
      <color theme="1"/>
      <name val="Times New Roman"/>
      <family val="1"/>
    </font>
    <font>
      <sz val="22"/>
      <color rgb="FFFF2F92"/>
      <name val="Times New Roman"/>
      <family val="1"/>
    </font>
    <font>
      <b/>
      <sz val="11"/>
      <color theme="1"/>
      <name val="Calibri"/>
      <family val="2"/>
      <scheme val="minor"/>
    </font>
    <font>
      <b/>
      <sz val="10"/>
      <color theme="0"/>
      <name val="Arial"/>
      <family val="2"/>
    </font>
    <font>
      <sz val="10"/>
      <color theme="3" tint="-0.499984740745262"/>
      <name val="Calibri"/>
      <family val="2"/>
      <scheme val="minor"/>
    </font>
    <font>
      <u/>
      <sz val="11"/>
      <color theme="0"/>
      <name val="Arial"/>
      <family val="2"/>
    </font>
    <font>
      <sz val="11"/>
      <color theme="1"/>
      <name val="Arial"/>
      <family val="2"/>
    </font>
    <font>
      <sz val="10"/>
      <name val="Times New Roman"/>
      <family val="1"/>
    </font>
    <font>
      <b/>
      <u/>
      <sz val="12"/>
      <color indexed="12"/>
      <name val="Arial"/>
      <family val="2"/>
    </font>
    <font>
      <b/>
      <sz val="18"/>
      <color theme="0"/>
      <name val="Arial"/>
      <family val="2"/>
    </font>
    <font>
      <sz val="9"/>
      <color rgb="FF000000"/>
      <name val="Times New Roman"/>
      <family val="1"/>
    </font>
    <font>
      <b/>
      <sz val="12"/>
      <color rgb="FF000000"/>
      <name val="Helv"/>
    </font>
    <font>
      <sz val="12"/>
      <color rgb="FF000000"/>
      <name val="Helv"/>
    </font>
    <font>
      <b/>
      <sz val="10"/>
      <color rgb="FF000000"/>
      <name val="Tahoma"/>
      <family val="2"/>
    </font>
    <font>
      <sz val="10"/>
      <color rgb="FF000000"/>
      <name val="Tahoma"/>
      <family val="2"/>
    </font>
    <font>
      <sz val="12"/>
      <color rgb="FF000000"/>
      <name val="Tahoma"/>
      <family val="2"/>
    </font>
    <font>
      <b/>
      <sz val="14"/>
      <color rgb="FFFFFFFF"/>
      <name val="Calibri"/>
      <family val="2"/>
      <scheme val="minor"/>
    </font>
    <font>
      <b/>
      <sz val="14"/>
      <color theme="1"/>
      <name val="Calibri"/>
      <family val="2"/>
      <scheme val="minor"/>
    </font>
    <font>
      <b/>
      <sz val="14"/>
      <name val="Calibri"/>
      <family val="2"/>
      <scheme val="minor"/>
    </font>
    <font>
      <b/>
      <sz val="16"/>
      <color rgb="FFFFFFFF"/>
      <name val="Calibri"/>
      <family val="2"/>
      <scheme val="minor"/>
    </font>
    <font>
      <b/>
      <sz val="16"/>
      <color theme="1"/>
      <name val="Calibri"/>
      <family val="2"/>
      <scheme val="minor"/>
    </font>
    <font>
      <b/>
      <sz val="16"/>
      <name val="Calibri"/>
      <family val="2"/>
      <scheme val="minor"/>
    </font>
    <font>
      <sz val="10"/>
      <color rgb="FFFFC000"/>
      <name val="Arial"/>
      <family val="2"/>
    </font>
    <font>
      <b/>
      <sz val="20"/>
      <color rgb="FFFF0000"/>
      <name val="Arial"/>
      <family val="2"/>
    </font>
    <font>
      <b/>
      <u/>
      <sz val="20"/>
      <color indexed="10"/>
      <name val="Arial"/>
      <family val="2"/>
    </font>
    <font>
      <b/>
      <sz val="20"/>
      <color indexed="10"/>
      <name val="Arial"/>
      <family val="2"/>
    </font>
    <font>
      <b/>
      <sz val="12"/>
      <color rgb="FFFF0000"/>
      <name val="Arial"/>
      <family val="2"/>
    </font>
    <font>
      <b/>
      <sz val="12"/>
      <color theme="1"/>
      <name val="Arial"/>
      <family val="2"/>
    </font>
    <font>
      <b/>
      <sz val="16"/>
      <name val="Arial"/>
      <family val="2"/>
    </font>
    <font>
      <sz val="16"/>
      <color theme="1"/>
      <name val="Arial"/>
      <family val="2"/>
    </font>
    <font>
      <b/>
      <sz val="16"/>
      <color rgb="FF000000"/>
      <name val="Arial"/>
      <family val="2"/>
    </font>
    <font>
      <sz val="12"/>
      <color rgb="FFFF0000"/>
      <name val="Arial"/>
      <family val="2"/>
    </font>
    <font>
      <b/>
      <sz val="14"/>
      <color theme="1"/>
      <name val="Arial"/>
      <family val="2"/>
    </font>
    <font>
      <sz val="16"/>
      <name val="Arial"/>
      <family val="2"/>
    </font>
    <font>
      <b/>
      <sz val="14"/>
      <color indexed="8"/>
      <name val="Arial"/>
      <family val="2"/>
    </font>
    <font>
      <b/>
      <sz val="16"/>
      <color rgb="FFFF0000"/>
      <name val="Arial"/>
      <family val="2"/>
    </font>
    <font>
      <sz val="16"/>
      <color rgb="FFFF0000"/>
      <name val="Arial"/>
      <family val="2"/>
    </font>
    <font>
      <sz val="16"/>
      <color rgb="FFFFC000"/>
      <name val="Times New Roman"/>
      <family val="1"/>
    </font>
    <font>
      <sz val="16"/>
      <color theme="3" tint="-0.499984740745262"/>
      <name val="Times New Roman"/>
      <family val="1"/>
    </font>
    <font>
      <b/>
      <u/>
      <sz val="16"/>
      <color indexed="10"/>
      <name val="Calibri"/>
      <family val="2"/>
    </font>
    <font>
      <b/>
      <sz val="16"/>
      <color indexed="10"/>
      <name val="Calibri"/>
      <family val="2"/>
    </font>
    <font>
      <sz val="16"/>
      <name val="Calibri"/>
      <family val="2"/>
      <scheme val="minor"/>
    </font>
    <font>
      <sz val="16"/>
      <color rgb="FF000000"/>
      <name val="Calibri"/>
      <family val="2"/>
      <scheme val="minor"/>
    </font>
    <font>
      <sz val="16"/>
      <color rgb="FFFF0000"/>
      <name val="Calibri"/>
      <family val="2"/>
      <scheme val="minor"/>
    </font>
    <font>
      <b/>
      <u/>
      <sz val="16"/>
      <color indexed="8"/>
      <name val="Calibri"/>
      <family val="2"/>
    </font>
    <font>
      <b/>
      <sz val="11"/>
      <color theme="0"/>
      <name val="Arial"/>
      <family val="2"/>
    </font>
    <font>
      <b/>
      <sz val="11"/>
      <color indexed="12"/>
      <name val="Arial"/>
      <family val="2"/>
    </font>
    <font>
      <sz val="14"/>
      <name val="Calibri"/>
      <family val="2"/>
      <scheme val="minor"/>
    </font>
    <font>
      <sz val="14"/>
      <color rgb="FFFF0000"/>
      <name val="Calibri"/>
      <family val="2"/>
      <scheme val="minor"/>
    </font>
    <font>
      <b/>
      <sz val="11"/>
      <color theme="1"/>
      <name val="Arial"/>
      <family val="2"/>
    </font>
    <font>
      <sz val="12"/>
      <color theme="0"/>
      <name val="Arial"/>
      <family val="2"/>
    </font>
    <font>
      <b/>
      <i/>
      <sz val="12"/>
      <color rgb="FFFF0000"/>
      <name val="Arial"/>
      <family val="2"/>
    </font>
    <font>
      <sz val="16"/>
      <color theme="3" tint="-0.499984740745262"/>
      <name val="Arial"/>
      <family val="2"/>
    </font>
    <font>
      <b/>
      <sz val="14"/>
      <color rgb="FFFF0000"/>
      <name val="Arial"/>
      <family val="2"/>
    </font>
    <font>
      <sz val="8"/>
      <name val="Arial"/>
      <family val="2"/>
    </font>
    <font>
      <b/>
      <sz val="14"/>
      <color theme="3" tint="-0.499984740745262"/>
      <name val="Arial"/>
      <family val="2"/>
    </font>
    <font>
      <b/>
      <sz val="14"/>
      <color rgb="FF0F243E"/>
      <name val="Arial"/>
      <family val="2"/>
    </font>
    <font>
      <b/>
      <sz val="11"/>
      <name val="Times New Roman"/>
      <family val="1"/>
    </font>
    <font>
      <b/>
      <sz val="11"/>
      <color theme="3" tint="-0.499984740745262"/>
      <name val="Times New Roman"/>
      <family val="1"/>
    </font>
    <font>
      <b/>
      <i/>
      <sz val="11"/>
      <name val="Arial"/>
      <family val="2"/>
    </font>
    <font>
      <b/>
      <i/>
      <sz val="11"/>
      <name val="Times New Roman"/>
      <family val="1"/>
    </font>
    <font>
      <b/>
      <sz val="11"/>
      <color theme="3" tint="-0.499984740745262"/>
      <name val="Arial"/>
      <family val="2"/>
    </font>
    <font>
      <b/>
      <i/>
      <sz val="11"/>
      <color theme="3" tint="-0.499984740745262"/>
      <name val="Times New Roman"/>
      <family val="1"/>
    </font>
    <font>
      <b/>
      <i/>
      <sz val="11"/>
      <name val="Verdana"/>
      <family val="2"/>
    </font>
    <font>
      <b/>
      <sz val="11"/>
      <color indexed="8"/>
      <name val="Arial"/>
      <family val="2"/>
    </font>
    <font>
      <sz val="11"/>
      <color theme="3" tint="-0.499984740745262"/>
      <name val="Times New Roman"/>
      <family val="1"/>
    </font>
    <font>
      <i/>
      <sz val="11"/>
      <name val="Verdana"/>
      <family val="2"/>
    </font>
    <font>
      <sz val="11"/>
      <color indexed="8"/>
      <name val="Arial"/>
      <family val="2"/>
    </font>
    <font>
      <i/>
      <sz val="11"/>
      <name val="Times New Roman"/>
      <family val="1"/>
    </font>
    <font>
      <sz val="11"/>
      <color indexed="10"/>
      <name val="Arial"/>
      <family val="2"/>
    </font>
    <font>
      <sz val="11"/>
      <color rgb="FFFF0000"/>
      <name val="Arial"/>
      <family val="2"/>
    </font>
    <font>
      <b/>
      <sz val="18"/>
      <name val="Arial"/>
      <family val="2"/>
    </font>
    <font>
      <sz val="11"/>
      <color rgb="FF000000"/>
      <name val="Arial"/>
      <family val="2"/>
    </font>
    <font>
      <b/>
      <sz val="10"/>
      <color rgb="FF000000"/>
      <name val="Arial"/>
      <family val="2"/>
    </font>
    <font>
      <b/>
      <sz val="11"/>
      <color rgb="FFFF3399"/>
      <name val="Arial"/>
      <family val="2"/>
    </font>
    <font>
      <b/>
      <sz val="12"/>
      <color rgb="FFFF0000"/>
      <name val="Calibri"/>
      <family val="2"/>
    </font>
    <font>
      <b/>
      <sz val="14"/>
      <color rgb="FFFF3399"/>
      <name val="Arial"/>
      <family val="2"/>
    </font>
    <font>
      <b/>
      <sz val="14"/>
      <color theme="8"/>
      <name val="Arial"/>
      <family val="2"/>
    </font>
    <font>
      <b/>
      <sz val="16"/>
      <color theme="3"/>
      <name val="Arial"/>
      <family val="2"/>
    </font>
    <font>
      <i/>
      <sz val="12"/>
      <color rgb="FFFFFFFF"/>
      <name val="Arial"/>
      <family val="2"/>
    </font>
    <font>
      <sz val="12"/>
      <color indexed="9"/>
      <name val="Arial"/>
      <family val="2"/>
    </font>
    <font>
      <sz val="14"/>
      <color indexed="62"/>
      <name val="Arial"/>
      <family val="2"/>
    </font>
    <font>
      <b/>
      <sz val="14"/>
      <color indexed="14"/>
      <name val="Arial"/>
      <family val="2"/>
    </font>
    <font>
      <sz val="14"/>
      <color indexed="49"/>
      <name val="Arial"/>
      <family val="2"/>
    </font>
    <font>
      <b/>
      <sz val="14"/>
      <color indexed="49"/>
      <name val="Arial"/>
      <family val="2"/>
    </font>
    <font>
      <b/>
      <u/>
      <sz val="14"/>
      <color theme="8"/>
      <name val="Arial"/>
      <family val="2"/>
    </font>
    <font>
      <b/>
      <sz val="24"/>
      <color theme="8"/>
      <name val="Arial"/>
      <family val="2"/>
    </font>
    <font>
      <sz val="20"/>
      <color rgb="FFFF0000"/>
      <name val="Calibri"/>
      <family val="2"/>
      <scheme val="minor"/>
    </font>
    <font>
      <u/>
      <sz val="20"/>
      <color indexed="10"/>
      <name val="Calibri"/>
      <family val="2"/>
    </font>
    <font>
      <sz val="20"/>
      <color indexed="10"/>
      <name val="Calibri"/>
      <family val="2"/>
    </font>
    <font>
      <u/>
      <sz val="14"/>
      <color theme="0"/>
      <name val="Ubuntu"/>
    </font>
    <font>
      <b/>
      <sz val="20"/>
      <color theme="0"/>
      <name val="Arial"/>
      <family val="2"/>
    </font>
    <font>
      <sz val="10"/>
      <color theme="0"/>
      <name val="Arial"/>
      <family val="2"/>
    </font>
    <font>
      <b/>
      <u/>
      <sz val="14"/>
      <color theme="0"/>
      <name val="Arial"/>
      <family val="2"/>
    </font>
    <font>
      <b/>
      <u/>
      <sz val="16"/>
      <color theme="0"/>
      <name val="Arial"/>
      <family val="2"/>
    </font>
    <font>
      <b/>
      <u/>
      <sz val="18"/>
      <color theme="0"/>
      <name val="Arial"/>
      <family val="2"/>
    </font>
    <font>
      <u/>
      <sz val="16"/>
      <color theme="3"/>
      <name val="Arial"/>
      <family val="2"/>
    </font>
    <font>
      <sz val="12"/>
      <color theme="8"/>
      <name val="Ubuntu"/>
    </font>
    <font>
      <sz val="10"/>
      <color theme="8"/>
      <name val="Ubuntu"/>
    </font>
    <font>
      <b/>
      <sz val="14"/>
      <color theme="0"/>
      <name val="Ubuntu"/>
    </font>
    <font>
      <sz val="11"/>
      <color rgb="FF000000"/>
      <name val="Helvetica"/>
      <family val="2"/>
    </font>
    <font>
      <sz val="10"/>
      <color theme="3"/>
      <name val="Ubuntu"/>
    </font>
    <font>
      <b/>
      <u/>
      <sz val="12"/>
      <color theme="1"/>
      <name val="Arial"/>
      <family val="2"/>
    </font>
    <font>
      <sz val="11"/>
      <color theme="1"/>
      <name val="Helvetica"/>
      <family val="2"/>
    </font>
    <font>
      <sz val="12"/>
      <color theme="8"/>
      <name val="Times New Roman"/>
      <family val="1"/>
    </font>
    <font>
      <sz val="10"/>
      <color theme="8"/>
      <name val="Times New Roman"/>
      <family val="1"/>
    </font>
    <font>
      <i/>
      <sz val="10"/>
      <color rgb="FFFF0000"/>
      <name val="Ubuntu"/>
    </font>
    <font>
      <sz val="10"/>
      <color rgb="FFFF0000"/>
      <name val="Arial"/>
      <family val="2"/>
    </font>
    <font>
      <b/>
      <sz val="18"/>
      <color theme="8"/>
      <name val="Ubuntu"/>
    </font>
  </fonts>
  <fills count="3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bgColor indexed="64"/>
      </patternFill>
    </fill>
    <fill>
      <patternFill patternType="solid">
        <fgColor theme="3" tint="-0.499984740745262"/>
        <bgColor indexed="64"/>
      </patternFill>
    </fill>
    <fill>
      <patternFill patternType="solid">
        <fgColor rgb="FFFF2F92"/>
        <bgColor indexed="64"/>
      </patternFill>
    </fill>
    <fill>
      <patternFill patternType="solid">
        <fgColor theme="9" tint="0.59999389629810485"/>
        <bgColor indexed="64"/>
      </patternFill>
    </fill>
    <fill>
      <patternFill patternType="solid">
        <fgColor theme="6"/>
        <bgColor indexed="64"/>
      </patternFill>
    </fill>
    <fill>
      <patternFill patternType="solid">
        <fgColor theme="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8" tint="0.39994506668294322"/>
        <bgColor indexed="64"/>
      </patternFill>
    </fill>
    <fill>
      <patternFill patternType="solid">
        <fgColor theme="0"/>
        <bgColor rgb="FF000000"/>
      </patternFill>
    </fill>
    <fill>
      <patternFill patternType="solid">
        <fgColor theme="3"/>
        <bgColor indexed="64"/>
      </patternFill>
    </fill>
    <fill>
      <patternFill patternType="solid">
        <fgColor rgb="FF941651"/>
        <bgColor indexed="64"/>
      </patternFill>
    </fill>
    <fill>
      <patternFill patternType="solid">
        <fgColor rgb="FF00206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3399"/>
        <bgColor indexed="64"/>
      </patternFill>
    </fill>
    <fill>
      <patternFill patternType="solid">
        <fgColor rgb="FFFF0000"/>
        <bgColor indexed="64"/>
      </patternFill>
    </fill>
    <fill>
      <patternFill patternType="solid">
        <fgColor rgb="FFC00000"/>
        <bgColor indexed="64"/>
      </patternFill>
    </fill>
    <fill>
      <patternFill patternType="solid">
        <fgColor theme="9"/>
        <bgColor indexed="64"/>
      </patternFill>
    </fill>
    <fill>
      <patternFill patternType="solid">
        <fgColor theme="0" tint="-4.9989318521683403E-2"/>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right/>
      <top/>
      <bottom style="thin">
        <color indexed="6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ck">
        <color theme="8"/>
      </left>
      <right/>
      <top/>
      <bottom/>
      <diagonal/>
    </border>
    <border>
      <left/>
      <right style="thick">
        <color theme="8"/>
      </right>
      <top/>
      <bottom/>
      <diagonal/>
    </border>
    <border>
      <left style="thick">
        <color rgb="FF28B8CE"/>
      </left>
      <right/>
      <top style="thick">
        <color rgb="FF28B8CE"/>
      </top>
      <bottom/>
      <diagonal/>
    </border>
    <border>
      <left style="thick">
        <color rgb="FF28B8CE"/>
      </left>
      <right/>
      <top/>
      <bottom/>
      <diagonal/>
    </border>
    <border>
      <left style="thick">
        <color rgb="FF28B8CE"/>
      </left>
      <right style="thick">
        <color theme="8"/>
      </right>
      <top/>
      <bottom/>
      <diagonal/>
    </border>
    <border>
      <left/>
      <right/>
      <top style="thin">
        <color theme="8"/>
      </top>
      <bottom style="thin">
        <color theme="8"/>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style="medium">
        <color theme="1"/>
      </left>
      <right/>
      <top/>
      <bottom/>
      <diagonal/>
    </border>
    <border>
      <left style="thick">
        <color theme="8"/>
      </left>
      <right/>
      <top/>
      <bottom style="medium">
        <color theme="8"/>
      </bottom>
      <diagonal/>
    </border>
    <border>
      <left/>
      <right style="thin">
        <color rgb="FF999999"/>
      </right>
      <top style="thin">
        <color rgb="FF999999"/>
      </top>
      <bottom/>
      <diagonal/>
    </border>
    <border>
      <left/>
      <right style="thin">
        <color rgb="FF999999"/>
      </right>
      <top style="thin">
        <color rgb="FF999999"/>
      </top>
      <bottom style="thin">
        <color rgb="FF999999"/>
      </bottom>
      <diagonal/>
    </border>
    <border>
      <left style="thick">
        <color theme="8"/>
      </left>
      <right style="thick">
        <color theme="8"/>
      </right>
      <top/>
      <bottom/>
      <diagonal/>
    </border>
    <border>
      <left style="medium">
        <color rgb="FFFFFFFF"/>
      </left>
      <right style="medium">
        <color rgb="FFFFFFFF"/>
      </right>
      <top/>
      <bottom/>
      <diagonal/>
    </border>
    <border>
      <left style="thin">
        <color theme="0"/>
      </left>
      <right style="thin">
        <color theme="0"/>
      </right>
      <top style="thin">
        <color theme="0"/>
      </top>
      <bottom style="thin">
        <color theme="0"/>
      </bottom>
      <diagonal/>
    </border>
    <border>
      <left style="medium">
        <color theme="1"/>
      </left>
      <right/>
      <top style="medium">
        <color theme="1"/>
      </top>
      <bottom/>
      <diagonal/>
    </border>
    <border>
      <left/>
      <right style="thin">
        <color rgb="FF000000"/>
      </right>
      <top style="thin">
        <color indexed="64"/>
      </top>
      <bottom style="thin">
        <color indexed="64"/>
      </bottom>
      <diagonal/>
    </border>
    <border>
      <left style="thick">
        <color theme="8"/>
      </left>
      <right style="thick">
        <color theme="8"/>
      </right>
      <top/>
      <bottom style="thick">
        <color theme="8"/>
      </bottom>
      <diagonal/>
    </border>
    <border>
      <left style="thin">
        <color theme="8"/>
      </left>
      <right/>
      <top/>
      <bottom/>
      <diagonal/>
    </border>
    <border>
      <left style="thin">
        <color theme="8"/>
      </left>
      <right style="thin">
        <color theme="8"/>
      </right>
      <top style="thin">
        <color theme="8"/>
      </top>
      <bottom style="thin">
        <color theme="8"/>
      </bottom>
      <diagonal/>
    </border>
    <border>
      <left/>
      <right style="thin">
        <color rgb="FF999999"/>
      </right>
      <top/>
      <bottom/>
      <diagonal/>
    </border>
    <border>
      <left/>
      <right/>
      <top style="thin">
        <color theme="8"/>
      </top>
      <bottom/>
      <diagonal/>
    </border>
    <border>
      <left style="thick">
        <color theme="8"/>
      </left>
      <right style="thick">
        <color theme="8"/>
      </right>
      <top style="thick">
        <color theme="8"/>
      </top>
      <bottom/>
      <diagonal/>
    </border>
    <border>
      <left style="thick">
        <color theme="8"/>
      </left>
      <right/>
      <top style="thick">
        <color theme="8"/>
      </top>
      <bottom/>
      <diagonal/>
    </border>
    <border>
      <left/>
      <right/>
      <top style="thick">
        <color theme="8"/>
      </top>
      <bottom/>
      <diagonal/>
    </border>
    <border>
      <left/>
      <right style="thick">
        <color theme="8"/>
      </right>
      <top style="thick">
        <color theme="8"/>
      </top>
      <bottom/>
      <diagonal/>
    </border>
    <border>
      <left/>
      <right/>
      <top/>
      <bottom style="medium">
        <color theme="8"/>
      </bottom>
      <diagonal/>
    </border>
    <border>
      <left/>
      <right style="thick">
        <color theme="8"/>
      </right>
      <top/>
      <bottom style="medium">
        <color theme="8"/>
      </bottom>
      <diagonal/>
    </border>
    <border>
      <left style="thin">
        <color theme="8"/>
      </left>
      <right style="thin">
        <color indexed="64"/>
      </right>
      <top style="thin">
        <color theme="8"/>
      </top>
      <bottom style="thin">
        <color theme="8"/>
      </bottom>
      <diagonal/>
    </border>
    <border>
      <left style="thin">
        <color indexed="64"/>
      </left>
      <right style="thin">
        <color indexed="64"/>
      </right>
      <top style="thin">
        <color theme="8"/>
      </top>
      <bottom style="thin">
        <color theme="8"/>
      </bottom>
      <diagonal/>
    </border>
    <border>
      <left style="thin">
        <color indexed="64"/>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8"/>
      </left>
      <right/>
      <top style="thin">
        <color rgb="FF4BACC6"/>
      </top>
      <bottom style="thin">
        <color rgb="FF4BACC6"/>
      </bottom>
      <diagonal/>
    </border>
    <border>
      <left/>
      <right/>
      <top style="thin">
        <color rgb="FF4BACC6"/>
      </top>
      <bottom style="thin">
        <color rgb="FF4BACC6"/>
      </bottom>
      <diagonal/>
    </border>
    <border>
      <left/>
      <right style="thin">
        <color rgb="FF4BACC6"/>
      </right>
      <top style="thin">
        <color rgb="FF4BACC6"/>
      </top>
      <bottom style="thin">
        <color rgb="FF4BACC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theme="3" tint="0.39994506668294322"/>
      </top>
      <bottom style="thin">
        <color theme="3" tint="0.39991454817346722"/>
      </bottom>
      <diagonal/>
    </border>
    <border>
      <left style="thin">
        <color rgb="FF999999"/>
      </left>
      <right/>
      <top style="thin">
        <color indexed="65"/>
      </top>
      <bottom/>
      <diagonal/>
    </border>
    <border>
      <left style="thin">
        <color indexed="65"/>
      </left>
      <right/>
      <top style="thin">
        <color rgb="FF999999"/>
      </top>
      <bottom style="thin">
        <color rgb="FF999999"/>
      </bottom>
      <diagonal/>
    </border>
    <border>
      <left style="thin">
        <color rgb="FF999999"/>
      </left>
      <right style="thin">
        <color rgb="FF999999"/>
      </right>
      <top style="thin">
        <color indexed="65"/>
      </top>
      <bottom/>
      <diagonal/>
    </border>
    <border>
      <left/>
      <right/>
      <top/>
      <bottom style="thin">
        <color rgb="FF999999"/>
      </bottom>
      <diagonal/>
    </border>
    <border>
      <left style="thin">
        <color rgb="FF4BACC6"/>
      </left>
      <right/>
      <top style="thin">
        <color rgb="FF4BACC6"/>
      </top>
      <bottom style="thin">
        <color rgb="FF4BACC6"/>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theme="8"/>
      </top>
      <bottom style="thin">
        <color theme="8"/>
      </bottom>
      <diagonal/>
    </border>
    <border>
      <left/>
      <right style="thin">
        <color indexed="64"/>
      </right>
      <top style="thin">
        <color theme="8"/>
      </top>
      <bottom style="thin">
        <color theme="8"/>
      </bottom>
      <diagonal/>
    </border>
    <border>
      <left style="thin">
        <color theme="8"/>
      </left>
      <right/>
      <top style="thin">
        <color theme="8"/>
      </top>
      <bottom/>
      <diagonal/>
    </border>
    <border>
      <left/>
      <right style="thin">
        <color theme="8"/>
      </right>
      <top style="thin">
        <color theme="8"/>
      </top>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s>
  <cellStyleXfs count="7">
    <xf numFmtId="49" fontId="0" fillId="0" borderId="0"/>
    <xf numFmtId="0" fontId="142" fillId="0" borderId="0" applyNumberFormat="0" applyFill="0" applyBorder="0" applyAlignment="0" applyProtection="0">
      <alignment vertical="top"/>
      <protection locked="0"/>
    </xf>
    <xf numFmtId="0" fontId="3" fillId="0" borderId="0"/>
    <xf numFmtId="0" fontId="16" fillId="0" borderId="0"/>
    <xf numFmtId="9" fontId="1" fillId="0" borderId="0" applyFont="0" applyFill="0" applyBorder="0" applyAlignment="0" applyProtection="0"/>
    <xf numFmtId="43" fontId="141" fillId="0" borderId="0" applyFont="0" applyFill="0" applyBorder="0" applyAlignment="0" applyProtection="0"/>
    <xf numFmtId="0" fontId="22" fillId="0" borderId="78">
      <alignment horizontal="left" vertical="center" wrapText="1"/>
    </xf>
  </cellStyleXfs>
  <cellXfs count="1528">
    <xf numFmtId="49" fontId="0" fillId="0" borderId="0" xfId="0"/>
    <xf numFmtId="49" fontId="3" fillId="0" borderId="0" xfId="0" applyFont="1"/>
    <xf numFmtId="165" fontId="3" fillId="0" borderId="0" xfId="0" applyNumberFormat="1" applyFont="1"/>
    <xf numFmtId="49" fontId="4" fillId="0" borderId="0" xfId="0" applyFont="1"/>
    <xf numFmtId="49" fontId="0" fillId="0" borderId="0" xfId="0" applyBorder="1"/>
    <xf numFmtId="1" fontId="3" fillId="0" borderId="0" xfId="0" applyNumberFormat="1" applyFont="1"/>
    <xf numFmtId="49" fontId="5" fillId="0" borderId="0" xfId="0" applyFont="1"/>
    <xf numFmtId="49" fontId="40" fillId="0" borderId="0" xfId="0" applyFont="1"/>
    <xf numFmtId="49" fontId="41" fillId="0" borderId="0" xfId="0" applyFont="1"/>
    <xf numFmtId="49" fontId="42" fillId="0" borderId="0" xfId="0" applyFont="1"/>
    <xf numFmtId="49" fontId="43" fillId="0" borderId="0" xfId="0" applyFont="1"/>
    <xf numFmtId="49" fontId="3" fillId="2" borderId="0" xfId="0" applyFont="1" applyFill="1"/>
    <xf numFmtId="165" fontId="3" fillId="2" borderId="0" xfId="0" applyNumberFormat="1" applyFont="1" applyFill="1"/>
    <xf numFmtId="1" fontId="3" fillId="2" borderId="0" xfId="0" applyNumberFormat="1" applyFont="1" applyFill="1"/>
    <xf numFmtId="49" fontId="1" fillId="0" borderId="0" xfId="0" applyFont="1"/>
    <xf numFmtId="49" fontId="6" fillId="0" borderId="0" xfId="0" applyFont="1"/>
    <xf numFmtId="49" fontId="7" fillId="0" borderId="0" xfId="0" applyFont="1"/>
    <xf numFmtId="49" fontId="1" fillId="0" borderId="0" xfId="0" applyFont="1" applyBorder="1"/>
    <xf numFmtId="9" fontId="1" fillId="0" borderId="0" xfId="0" applyNumberFormat="1" applyFont="1" applyFill="1" applyBorder="1"/>
    <xf numFmtId="9" fontId="1" fillId="0" borderId="0" xfId="0" applyNumberFormat="1" applyFont="1" applyBorder="1"/>
    <xf numFmtId="49" fontId="1" fillId="0" borderId="0" xfId="0" applyFont="1" applyFill="1" applyBorder="1" applyAlignment="1"/>
    <xf numFmtId="49" fontId="1" fillId="0" borderId="0" xfId="0" applyFont="1" applyAlignment="1"/>
    <xf numFmtId="49" fontId="1" fillId="0" borderId="0" xfId="0" applyFont="1" applyFill="1"/>
    <xf numFmtId="49" fontId="8" fillId="0" borderId="0" xfId="0" applyFont="1"/>
    <xf numFmtId="49" fontId="6" fillId="2" borderId="0" xfId="0" applyFont="1" applyFill="1"/>
    <xf numFmtId="49" fontId="1" fillId="2" borderId="0" xfId="0" applyFont="1" applyFill="1"/>
    <xf numFmtId="49" fontId="7" fillId="2" borderId="0" xfId="0" applyFont="1" applyFill="1"/>
    <xf numFmtId="49" fontId="3" fillId="2" borderId="0" xfId="0" applyFont="1" applyFill="1" applyAlignment="1"/>
    <xf numFmtId="49" fontId="9" fillId="2" borderId="0" xfId="0" applyFont="1" applyFill="1" applyBorder="1" applyAlignment="1"/>
    <xf numFmtId="49" fontId="5" fillId="4" borderId="0" xfId="0" applyFont="1" applyFill="1"/>
    <xf numFmtId="49" fontId="41" fillId="4" borderId="0" xfId="0" applyFont="1" applyFill="1"/>
    <xf numFmtId="49" fontId="5" fillId="0" borderId="0" xfId="0" applyFont="1" applyBorder="1"/>
    <xf numFmtId="49" fontId="41" fillId="0" borderId="0" xfId="0" applyFont="1" applyBorder="1"/>
    <xf numFmtId="49" fontId="3" fillId="2" borderId="0" xfId="0" applyFont="1" applyFill="1" applyBorder="1" applyAlignment="1"/>
    <xf numFmtId="49" fontId="1" fillId="2" borderId="0" xfId="0" applyFont="1" applyFill="1" applyBorder="1"/>
    <xf numFmtId="49" fontId="8" fillId="0" borderId="0" xfId="0" applyFont="1" applyBorder="1"/>
    <xf numFmtId="49" fontId="3" fillId="0" borderId="0" xfId="0" applyFont="1" applyFill="1" applyBorder="1"/>
    <xf numFmtId="49" fontId="3" fillId="0" borderId="0" xfId="0" applyFont="1" applyBorder="1"/>
    <xf numFmtId="49" fontId="44" fillId="0" borderId="0" xfId="0" applyFont="1" applyBorder="1"/>
    <xf numFmtId="49" fontId="3" fillId="2" borderId="0" xfId="0" applyFont="1" applyFill="1" applyBorder="1"/>
    <xf numFmtId="0" fontId="3" fillId="2" borderId="0" xfId="0" applyNumberFormat="1" applyFont="1" applyFill="1" applyBorder="1"/>
    <xf numFmtId="9" fontId="3" fillId="0" borderId="0" xfId="0" applyNumberFormat="1" applyFont="1" applyBorder="1"/>
    <xf numFmtId="49" fontId="3" fillId="0" borderId="0" xfId="0" applyFont="1" applyFill="1" applyBorder="1" applyAlignment="1"/>
    <xf numFmtId="49" fontId="3" fillId="0" borderId="0" xfId="0" applyFont="1" applyBorder="1" applyAlignment="1"/>
    <xf numFmtId="49" fontId="12" fillId="0" borderId="0" xfId="0" applyFont="1"/>
    <xf numFmtId="49" fontId="11" fillId="0" borderId="0" xfId="0" applyFont="1"/>
    <xf numFmtId="49" fontId="12" fillId="0" borderId="0" xfId="0" applyFont="1" applyBorder="1"/>
    <xf numFmtId="49" fontId="45" fillId="0" borderId="0" xfId="0" applyFont="1" applyBorder="1"/>
    <xf numFmtId="49" fontId="15" fillId="0" borderId="0" xfId="0" applyFont="1"/>
    <xf numFmtId="49" fontId="5" fillId="2" borderId="0" xfId="0" applyFont="1" applyFill="1" applyBorder="1"/>
    <xf numFmtId="49" fontId="41" fillId="2" borderId="0" xfId="0" applyFont="1" applyFill="1"/>
    <xf numFmtId="49" fontId="0" fillId="2" borderId="0" xfId="0" applyFill="1"/>
    <xf numFmtId="10" fontId="1" fillId="2" borderId="0" xfId="0" applyNumberFormat="1" applyFont="1" applyFill="1" applyBorder="1"/>
    <xf numFmtId="49" fontId="44" fillId="0" borderId="0" xfId="0" applyFont="1"/>
    <xf numFmtId="49" fontId="17" fillId="4" borderId="1" xfId="0" applyFont="1" applyFill="1" applyBorder="1"/>
    <xf numFmtId="10" fontId="10" fillId="4" borderId="1" xfId="0" applyNumberFormat="1" applyFont="1" applyFill="1" applyBorder="1"/>
    <xf numFmtId="49" fontId="3" fillId="4" borderId="1" xfId="0" applyFont="1" applyFill="1" applyBorder="1"/>
    <xf numFmtId="49" fontId="3" fillId="4" borderId="4" xfId="0" applyFont="1" applyFill="1" applyBorder="1"/>
    <xf numFmtId="49" fontId="17" fillId="4" borderId="1" xfId="0" applyFont="1" applyFill="1" applyBorder="1" applyAlignment="1">
      <alignment horizontal="right"/>
    </xf>
    <xf numFmtId="49" fontId="10" fillId="4" borderId="1" xfId="0" applyFont="1" applyFill="1" applyBorder="1" applyAlignment="1">
      <alignment horizontal="center"/>
    </xf>
    <xf numFmtId="49" fontId="10" fillId="4" borderId="0" xfId="0" applyFont="1" applyFill="1"/>
    <xf numFmtId="49" fontId="3" fillId="0" borderId="0" xfId="0" applyFont="1" applyFill="1" applyBorder="1" applyAlignment="1">
      <alignment horizontal="center"/>
    </xf>
    <xf numFmtId="49" fontId="3" fillId="0" borderId="0" xfId="0" applyFont="1" applyBorder="1" applyAlignment="1">
      <alignment horizontal="center"/>
    </xf>
    <xf numFmtId="49" fontId="5" fillId="2" borderId="0" xfId="0" applyFont="1" applyFill="1"/>
    <xf numFmtId="49" fontId="44" fillId="0" borderId="0" xfId="0" applyFont="1" applyFill="1" applyBorder="1"/>
    <xf numFmtId="49" fontId="1" fillId="0" borderId="0" xfId="0" applyFont="1" applyFill="1" applyBorder="1"/>
    <xf numFmtId="49" fontId="14" fillId="0" borderId="17" xfId="0" applyFont="1" applyBorder="1" applyAlignment="1">
      <alignment vertical="top" wrapText="1"/>
    </xf>
    <xf numFmtId="49" fontId="14" fillId="0" borderId="18" xfId="0" applyFont="1" applyBorder="1" applyAlignment="1">
      <alignment vertical="top" wrapText="1"/>
    </xf>
    <xf numFmtId="49" fontId="14" fillId="0" borderId="0" xfId="0" applyFont="1"/>
    <xf numFmtId="49" fontId="3" fillId="5" borderId="0" xfId="0" applyFont="1" applyFill="1"/>
    <xf numFmtId="49" fontId="5" fillId="0" borderId="0" xfId="0" applyFont="1" applyFill="1"/>
    <xf numFmtId="49" fontId="41" fillId="0" borderId="0" xfId="0" applyFont="1" applyFill="1"/>
    <xf numFmtId="49" fontId="0" fillId="0" borderId="0" xfId="0" applyFill="1"/>
    <xf numFmtId="49" fontId="40" fillId="0" borderId="0" xfId="0" applyFont="1" applyFill="1"/>
    <xf numFmtId="10" fontId="1" fillId="0" borderId="0" xfId="0" applyNumberFormat="1" applyFont="1" applyFill="1" applyBorder="1"/>
    <xf numFmtId="49" fontId="46" fillId="0" borderId="0" xfId="0" applyFont="1"/>
    <xf numFmtId="49" fontId="3" fillId="0" borderId="0" xfId="0" applyFont="1" applyAlignment="1">
      <alignment horizontal="right"/>
    </xf>
    <xf numFmtId="49" fontId="47" fillId="0" borderId="0" xfId="0" applyFont="1"/>
    <xf numFmtId="49" fontId="3" fillId="0" borderId="0" xfId="0" applyFont="1" applyFill="1"/>
    <xf numFmtId="49" fontId="5" fillId="0" borderId="0" xfId="0" applyFont="1" applyBorder="1" applyAlignment="1">
      <alignment vertical="top"/>
    </xf>
    <xf numFmtId="49" fontId="5" fillId="0" borderId="0" xfId="0" quotePrefix="1" applyFont="1" applyFill="1" applyBorder="1" applyAlignment="1">
      <alignment vertical="top"/>
    </xf>
    <xf numFmtId="49" fontId="1" fillId="0" borderId="0" xfId="0" applyFont="1" applyAlignment="1">
      <alignment vertical="top"/>
    </xf>
    <xf numFmtId="49" fontId="41" fillId="0" borderId="0" xfId="0" applyFont="1" applyAlignment="1">
      <alignment vertical="top"/>
    </xf>
    <xf numFmtId="49" fontId="0" fillId="0" borderId="19" xfId="0" pivotButton="1" applyBorder="1"/>
    <xf numFmtId="49" fontId="0" fillId="0" borderId="20" xfId="0" applyBorder="1"/>
    <xf numFmtId="49" fontId="0" fillId="0" borderId="19" xfId="0" applyBorder="1"/>
    <xf numFmtId="49" fontId="0" fillId="0" borderId="23" xfId="0" applyBorder="1"/>
    <xf numFmtId="49" fontId="0" fillId="0" borderId="26" xfId="0" applyBorder="1"/>
    <xf numFmtId="0" fontId="142" fillId="0" borderId="0" xfId="1" applyFill="1" applyAlignment="1" applyProtection="1">
      <alignment horizontal="center" vertical="center"/>
    </xf>
    <xf numFmtId="49" fontId="20" fillId="0" borderId="0" xfId="0" applyFont="1"/>
    <xf numFmtId="49" fontId="21" fillId="0" borderId="0" xfId="0" applyFont="1"/>
    <xf numFmtId="49" fontId="49" fillId="0" borderId="0" xfId="0" applyFont="1"/>
    <xf numFmtId="49" fontId="23" fillId="0" borderId="0" xfId="0" applyFont="1"/>
    <xf numFmtId="49" fontId="50" fillId="0" borderId="0" xfId="0" applyFont="1"/>
    <xf numFmtId="49" fontId="51" fillId="0" borderId="0" xfId="0" applyFont="1"/>
    <xf numFmtId="49" fontId="52" fillId="7" borderId="1" xfId="0" applyFont="1" applyFill="1" applyBorder="1" applyAlignment="1">
      <alignment horizontal="center" vertical="center" wrapText="1" readingOrder="1"/>
    </xf>
    <xf numFmtId="49" fontId="51" fillId="0" borderId="0" xfId="0" applyFont="1" applyAlignment="1">
      <alignment horizontal="left" vertical="center" readingOrder="1"/>
    </xf>
    <xf numFmtId="168" fontId="37" fillId="0" borderId="0" xfId="0" applyNumberFormat="1" applyFont="1" applyAlignment="1" applyProtection="1">
      <alignment horizontal="center" vertical="top" wrapText="1" readingOrder="1"/>
      <protection locked="0"/>
    </xf>
    <xf numFmtId="168" fontId="37" fillId="0" borderId="0" xfId="0" applyNumberFormat="1" applyFont="1" applyAlignment="1" applyProtection="1">
      <alignment horizontal="right" wrapText="1" indent="2" readingOrder="1"/>
      <protection locked="0"/>
    </xf>
    <xf numFmtId="49" fontId="53" fillId="0" borderId="0" xfId="0" applyFont="1" applyAlignment="1">
      <alignment horizontal="center" wrapText="1" readingOrder="1"/>
    </xf>
    <xf numFmtId="10" fontId="50" fillId="0" borderId="0" xfId="0" applyNumberFormat="1" applyFont="1" applyAlignment="1">
      <alignment horizontal="center" wrapText="1"/>
    </xf>
    <xf numFmtId="1" fontId="50" fillId="0" borderId="0" xfId="0" applyNumberFormat="1" applyFont="1" applyAlignment="1">
      <alignment horizontal="right" indent="2"/>
    </xf>
    <xf numFmtId="49" fontId="37" fillId="0" borderId="0" xfId="0" applyFont="1"/>
    <xf numFmtId="49" fontId="38" fillId="0" borderId="0" xfId="0" applyFont="1"/>
    <xf numFmtId="167" fontId="50" fillId="8" borderId="0" xfId="4" applyNumberFormat="1" applyFont="1" applyFill="1" applyAlignment="1">
      <alignment horizontal="right" indent="2"/>
    </xf>
    <xf numFmtId="49" fontId="52" fillId="6" borderId="1" xfId="0" applyFont="1" applyFill="1" applyBorder="1" applyAlignment="1">
      <alignment horizontal="center" vertical="center" wrapText="1" readingOrder="1"/>
    </xf>
    <xf numFmtId="9" fontId="37" fillId="8" borderId="1" xfId="4" applyFont="1" applyFill="1" applyBorder="1" applyAlignment="1" applyProtection="1">
      <alignment horizontal="center" vertical="center" wrapText="1" readingOrder="1"/>
      <protection locked="0"/>
    </xf>
    <xf numFmtId="49" fontId="39" fillId="0" borderId="0" xfId="0" applyFont="1"/>
    <xf numFmtId="1" fontId="50" fillId="8" borderId="0" xfId="4" applyNumberFormat="1" applyFont="1" applyFill="1" applyAlignment="1">
      <alignment horizontal="right" indent="2"/>
    </xf>
    <xf numFmtId="49" fontId="50" fillId="0" borderId="0" xfId="0" applyFont="1" applyAlignment="1">
      <alignment wrapText="1"/>
    </xf>
    <xf numFmtId="49" fontId="50" fillId="0" borderId="0" xfId="0" applyFont="1" applyAlignment="1">
      <alignment vertical="center" wrapText="1"/>
    </xf>
    <xf numFmtId="49" fontId="23" fillId="0" borderId="0" xfId="0" applyFont="1" applyAlignment="1">
      <alignment vertical="center" wrapText="1"/>
    </xf>
    <xf numFmtId="1" fontId="50" fillId="8" borderId="0" xfId="0" applyNumberFormat="1" applyFont="1" applyFill="1" applyAlignment="1">
      <alignment horizontal="right" vertical="center" wrapText="1" indent="2"/>
    </xf>
    <xf numFmtId="1" fontId="50" fillId="8" borderId="0" xfId="4" applyNumberFormat="1" applyFont="1" applyFill="1" applyAlignment="1">
      <alignment horizontal="left" wrapText="1" indent="2"/>
    </xf>
    <xf numFmtId="1" fontId="50" fillId="8" borderId="0" xfId="0" applyNumberFormat="1" applyFont="1" applyFill="1" applyAlignment="1">
      <alignment horizontal="left" indent="2"/>
    </xf>
    <xf numFmtId="1" fontId="50" fillId="8" borderId="0" xfId="0" applyNumberFormat="1" applyFont="1" applyFill="1" applyAlignment="1">
      <alignment horizontal="right" indent="2"/>
    </xf>
    <xf numFmtId="0" fontId="54" fillId="2" borderId="0" xfId="1" applyFont="1" applyFill="1" applyAlignment="1" applyProtection="1">
      <alignment horizontal="center" vertical="center"/>
    </xf>
    <xf numFmtId="49" fontId="41" fillId="0" borderId="0" xfId="0" applyFont="1" applyAlignment="1">
      <alignment horizontal="center"/>
    </xf>
    <xf numFmtId="49" fontId="55" fillId="10" borderId="0" xfId="0" applyFont="1" applyFill="1"/>
    <xf numFmtId="49" fontId="0" fillId="10" borderId="0" xfId="0" applyFill="1"/>
    <xf numFmtId="49" fontId="41" fillId="10" borderId="0" xfId="0" applyFont="1" applyFill="1"/>
    <xf numFmtId="49" fontId="44" fillId="10" borderId="0" xfId="0" applyFont="1" applyFill="1"/>
    <xf numFmtId="49" fontId="23" fillId="10" borderId="0" xfId="0" applyFont="1" applyFill="1"/>
    <xf numFmtId="49" fontId="56" fillId="10" borderId="0" xfId="0" applyFont="1" applyFill="1"/>
    <xf numFmtId="49" fontId="12" fillId="10" borderId="0" xfId="0" applyFont="1" applyFill="1"/>
    <xf numFmtId="49" fontId="57" fillId="10" borderId="0" xfId="0" applyFont="1" applyFill="1"/>
    <xf numFmtId="49" fontId="22" fillId="0" borderId="0" xfId="0" applyFont="1"/>
    <xf numFmtId="49" fontId="3" fillId="10" borderId="0" xfId="0" applyFont="1" applyFill="1"/>
    <xf numFmtId="165" fontId="3" fillId="10" borderId="0" xfId="0" applyNumberFormat="1" applyFont="1" applyFill="1"/>
    <xf numFmtId="1" fontId="3" fillId="10" borderId="0" xfId="0" applyNumberFormat="1" applyFont="1" applyFill="1"/>
    <xf numFmtId="49" fontId="23" fillId="0" borderId="29" xfId="0" applyFont="1" applyBorder="1"/>
    <xf numFmtId="49" fontId="58" fillId="0" borderId="0" xfId="0" applyFont="1" applyBorder="1" applyAlignment="1">
      <alignment vertical="center" wrapText="1"/>
    </xf>
    <xf numFmtId="49" fontId="58" fillId="0" borderId="30" xfId="0" applyFont="1" applyBorder="1" applyAlignment="1">
      <alignment vertical="center" wrapText="1"/>
    </xf>
    <xf numFmtId="49" fontId="23" fillId="0" borderId="0" xfId="0" applyFont="1" applyBorder="1"/>
    <xf numFmtId="49" fontId="23" fillId="0" borderId="30" xfId="0" applyFont="1" applyBorder="1"/>
    <xf numFmtId="49" fontId="58" fillId="0" borderId="29" xfId="0" applyFont="1" applyBorder="1" applyAlignment="1">
      <alignment vertical="center" wrapText="1"/>
    </xf>
    <xf numFmtId="49" fontId="14" fillId="0" borderId="0" xfId="0" applyFont="1" applyBorder="1"/>
    <xf numFmtId="49" fontId="62" fillId="10" borderId="31" xfId="0" applyFont="1" applyFill="1" applyBorder="1" applyAlignment="1">
      <alignment horizontal="center" vertical="center" wrapText="1"/>
    </xf>
    <xf numFmtId="49" fontId="62" fillId="10" borderId="32" xfId="0" applyFont="1" applyFill="1" applyBorder="1" applyAlignment="1">
      <alignment vertical="center" wrapText="1"/>
    </xf>
    <xf numFmtId="49" fontId="63" fillId="0" borderId="33" xfId="0" applyFont="1" applyBorder="1" applyAlignment="1">
      <alignment horizontal="left" vertical="center" wrapText="1" indent="2"/>
    </xf>
    <xf numFmtId="49" fontId="14" fillId="10" borderId="0" xfId="0" applyFont="1" applyFill="1"/>
    <xf numFmtId="49" fontId="24" fillId="0" borderId="0" xfId="0" applyFont="1"/>
    <xf numFmtId="49" fontId="66" fillId="0" borderId="0" xfId="0" applyFont="1" applyFill="1" applyBorder="1" applyAlignment="1">
      <alignment horizontal="center" vertical="top" wrapText="1"/>
    </xf>
    <xf numFmtId="49" fontId="13" fillId="0" borderId="0" xfId="0" applyFont="1"/>
    <xf numFmtId="49" fontId="67" fillId="0" borderId="0" xfId="0" applyFont="1" applyFill="1" applyBorder="1" applyAlignment="1">
      <alignment horizontal="center" vertical="top" wrapText="1"/>
    </xf>
    <xf numFmtId="49" fontId="68" fillId="0" borderId="0" xfId="0" applyFont="1" applyFill="1" applyBorder="1" applyAlignment="1">
      <alignment horizontal="center" vertical="center"/>
    </xf>
    <xf numFmtId="9" fontId="14" fillId="0" borderId="0" xfId="0" applyNumberFormat="1" applyFont="1" applyBorder="1"/>
    <xf numFmtId="49" fontId="69" fillId="10" borderId="0" xfId="0" applyFont="1" applyFill="1"/>
    <xf numFmtId="49" fontId="22" fillId="10" borderId="0" xfId="0" applyFont="1" applyFill="1"/>
    <xf numFmtId="49" fontId="26" fillId="0" borderId="0" xfId="0" applyFont="1"/>
    <xf numFmtId="49" fontId="25" fillId="0" borderId="0" xfId="0" applyFont="1" applyBorder="1"/>
    <xf numFmtId="49" fontId="22" fillId="0" borderId="0" xfId="0" applyFont="1" applyBorder="1"/>
    <xf numFmtId="49" fontId="70" fillId="0" borderId="0" xfId="0" applyFont="1" applyBorder="1"/>
    <xf numFmtId="49" fontId="25" fillId="0" borderId="0" xfId="0" applyFont="1" applyFill="1" applyBorder="1" applyAlignment="1"/>
    <xf numFmtId="49" fontId="22" fillId="0" borderId="0" xfId="0" applyFont="1" applyFill="1" applyBorder="1"/>
    <xf numFmtId="49" fontId="25" fillId="0" borderId="0" xfId="0" applyFont="1"/>
    <xf numFmtId="49" fontId="62" fillId="0" borderId="0" xfId="0" applyFont="1" applyFill="1" applyBorder="1" applyAlignment="1">
      <alignment horizontal="center" vertical="center"/>
    </xf>
    <xf numFmtId="49" fontId="14" fillId="0" borderId="0" xfId="0" applyFont="1" applyFill="1"/>
    <xf numFmtId="49" fontId="14" fillId="0" borderId="0" xfId="0" applyFont="1" applyBorder="1" applyAlignment="1"/>
    <xf numFmtId="49" fontId="68" fillId="0" borderId="0" xfId="0" applyFont="1" applyFill="1" applyBorder="1" applyAlignment="1">
      <alignment horizontal="center"/>
    </xf>
    <xf numFmtId="49" fontId="14" fillId="2" borderId="0" xfId="0" applyFont="1" applyFill="1"/>
    <xf numFmtId="49" fontId="68" fillId="2" borderId="0" xfId="0" applyFont="1" applyFill="1" applyBorder="1" applyAlignment="1">
      <alignment horizontal="center"/>
    </xf>
    <xf numFmtId="49" fontId="66" fillId="2" borderId="0" xfId="0" applyFont="1" applyFill="1" applyBorder="1" applyAlignment="1">
      <alignment horizontal="center" vertical="top" wrapText="1"/>
    </xf>
    <xf numFmtId="9" fontId="14" fillId="0" borderId="0" xfId="0" applyNumberFormat="1" applyFont="1" applyFill="1" applyBorder="1"/>
    <xf numFmtId="49" fontId="13" fillId="0" borderId="0" xfId="0" applyFont="1" applyFill="1" applyBorder="1" applyAlignment="1">
      <alignment horizontal="center"/>
    </xf>
    <xf numFmtId="49" fontId="63" fillId="0" borderId="0" xfId="0" applyFont="1" applyBorder="1"/>
    <xf numFmtId="0" fontId="64" fillId="0" borderId="0" xfId="1" applyFont="1" applyFill="1" applyBorder="1" applyAlignment="1" applyProtection="1">
      <alignment vertical="top" wrapText="1"/>
    </xf>
    <xf numFmtId="0" fontId="64" fillId="0" borderId="0" xfId="1" applyFont="1" applyFill="1" applyBorder="1" applyAlignment="1" applyProtection="1"/>
    <xf numFmtId="49" fontId="22" fillId="2" borderId="0" xfId="0" applyFont="1" applyFill="1"/>
    <xf numFmtId="49" fontId="63" fillId="10" borderId="0" xfId="0" applyFont="1" applyFill="1"/>
    <xf numFmtId="49" fontId="63" fillId="0" borderId="0" xfId="0" applyFont="1"/>
    <xf numFmtId="49" fontId="23" fillId="0" borderId="0" xfId="0" applyFont="1" applyFill="1"/>
    <xf numFmtId="49" fontId="75" fillId="0" borderId="0" xfId="0" applyFont="1" applyFill="1" applyBorder="1"/>
    <xf numFmtId="49" fontId="23" fillId="0" borderId="35" xfId="0" applyFont="1" applyBorder="1"/>
    <xf numFmtId="49" fontId="23" fillId="0" borderId="36" xfId="0" applyFont="1" applyBorder="1"/>
    <xf numFmtId="49" fontId="23" fillId="0" borderId="37" xfId="0" applyFont="1" applyBorder="1"/>
    <xf numFmtId="49" fontId="58" fillId="0" borderId="39" xfId="0" applyFont="1" applyBorder="1" applyAlignment="1">
      <alignment vertical="center" wrapText="1"/>
    </xf>
    <xf numFmtId="49" fontId="46" fillId="0" borderId="0" xfId="0" applyFont="1" applyAlignment="1">
      <alignment horizontal="left" vertical="top"/>
    </xf>
    <xf numFmtId="49" fontId="76" fillId="12" borderId="0" xfId="0" applyFont="1" applyFill="1" applyAlignment="1">
      <alignment horizontal="center" vertical="center"/>
    </xf>
    <xf numFmtId="49" fontId="76" fillId="0" borderId="0" xfId="0" applyFont="1" applyFill="1" applyAlignment="1">
      <alignment horizontal="center" vertical="center"/>
    </xf>
    <xf numFmtId="49" fontId="77" fillId="0" borderId="0" xfId="0" applyFont="1"/>
    <xf numFmtId="49" fontId="78" fillId="0" borderId="0" xfId="0" applyFont="1"/>
    <xf numFmtId="49" fontId="79" fillId="0" borderId="0" xfId="0" applyFont="1"/>
    <xf numFmtId="49" fontId="52" fillId="6" borderId="1" xfId="0" applyFont="1" applyFill="1" applyBorder="1" applyAlignment="1">
      <alignment horizontal="center" vertical="center" wrapText="1" readingOrder="1"/>
    </xf>
    <xf numFmtId="1" fontId="37" fillId="0" borderId="1" xfId="0" applyNumberFormat="1" applyFont="1" applyBorder="1" applyAlignment="1" applyProtection="1">
      <alignment horizontal="center" vertical="center" wrapText="1" readingOrder="1"/>
      <protection locked="0"/>
    </xf>
    <xf numFmtId="49" fontId="12" fillId="0" borderId="0" xfId="0" applyFont="1" applyFill="1"/>
    <xf numFmtId="0" fontId="59" fillId="0" borderId="29" xfId="1" applyFont="1" applyBorder="1" applyAlignment="1" applyProtection="1">
      <alignment horizontal="left" vertical="center" wrapText="1" indent="2"/>
    </xf>
    <xf numFmtId="0" fontId="59" fillId="0" borderId="0" xfId="1" applyFont="1" applyBorder="1" applyAlignment="1" applyProtection="1">
      <alignment horizontal="left" vertical="center" wrapText="1" indent="2"/>
    </xf>
    <xf numFmtId="0" fontId="59" fillId="0" borderId="30" xfId="1" applyFont="1" applyBorder="1" applyAlignment="1" applyProtection="1">
      <alignment horizontal="left" vertical="center" wrapText="1" indent="2"/>
    </xf>
    <xf numFmtId="49" fontId="0" fillId="0" borderId="0" xfId="0" applyAlignment="1">
      <alignment horizontal="center" vertical="center"/>
    </xf>
    <xf numFmtId="49" fontId="0" fillId="0" borderId="0" xfId="0" applyAlignment="1">
      <alignment horizontal="center" vertical="center" wrapText="1"/>
    </xf>
    <xf numFmtId="49" fontId="12" fillId="0" borderId="0" xfId="0" applyFont="1" applyFill="1" applyAlignment="1">
      <alignment horizontal="center" vertical="center" wrapText="1"/>
    </xf>
    <xf numFmtId="49" fontId="80" fillId="0" borderId="0" xfId="0" applyFont="1"/>
    <xf numFmtId="49" fontId="80" fillId="0" borderId="0" xfId="0" applyFont="1" applyAlignment="1">
      <alignment horizontal="left" vertical="top"/>
    </xf>
    <xf numFmtId="0" fontId="74" fillId="0" borderId="0" xfId="1" applyFont="1" applyFill="1" applyAlignment="1" applyProtection="1">
      <alignment horizontal="center" vertical="center"/>
    </xf>
    <xf numFmtId="0" fontId="54" fillId="0" borderId="0" xfId="1" applyFont="1" applyFill="1" applyAlignment="1" applyProtection="1">
      <alignment horizontal="center" vertical="center"/>
    </xf>
    <xf numFmtId="49" fontId="81" fillId="0" borderId="0" xfId="0" applyFont="1"/>
    <xf numFmtId="49" fontId="82" fillId="0" borderId="0" xfId="0" applyFont="1"/>
    <xf numFmtId="0" fontId="83" fillId="0" borderId="0" xfId="1" applyFont="1" applyBorder="1" applyAlignment="1" applyProtection="1">
      <alignment vertical="top" wrapText="1"/>
    </xf>
    <xf numFmtId="49" fontId="70" fillId="12" borderId="0" xfId="0" applyFont="1" applyFill="1" applyBorder="1"/>
    <xf numFmtId="49" fontId="84" fillId="12" borderId="0" xfId="0" applyFont="1" applyFill="1" applyBorder="1"/>
    <xf numFmtId="49" fontId="22" fillId="2" borderId="0" xfId="0" applyFont="1" applyFill="1" applyBorder="1"/>
    <xf numFmtId="49" fontId="25" fillId="2" borderId="0" xfId="0" applyFont="1" applyFill="1" applyBorder="1" applyAlignment="1"/>
    <xf numFmtId="49" fontId="84" fillId="2" borderId="0" xfId="0" applyFont="1" applyFill="1" applyBorder="1"/>
    <xf numFmtId="49" fontId="70" fillId="2" borderId="0" xfId="0" applyFont="1" applyFill="1" applyBorder="1"/>
    <xf numFmtId="49" fontId="85" fillId="0" borderId="0" xfId="0" applyFont="1"/>
    <xf numFmtId="49" fontId="86" fillId="0" borderId="0" xfId="0" applyFont="1"/>
    <xf numFmtId="0" fontId="74" fillId="2" borderId="0" xfId="1" applyFont="1" applyFill="1" applyAlignment="1" applyProtection="1">
      <alignment horizontal="center" vertical="center"/>
    </xf>
    <xf numFmtId="49" fontId="89" fillId="0" borderId="0" xfId="0" applyFont="1"/>
    <xf numFmtId="49" fontId="23" fillId="0" borderId="42" xfId="0" applyFont="1" applyBorder="1"/>
    <xf numFmtId="49" fontId="63" fillId="0" borderId="32" xfId="0" applyFont="1" applyBorder="1" applyAlignment="1">
      <alignment horizontal="left" vertical="center" wrapText="1" indent="4"/>
    </xf>
    <xf numFmtId="49" fontId="90" fillId="0" borderId="32" xfId="0" applyFont="1" applyBorder="1" applyAlignment="1">
      <alignment horizontal="left" vertical="center" wrapText="1" indent="2"/>
    </xf>
    <xf numFmtId="49" fontId="23" fillId="0" borderId="0" xfId="0" applyFont="1" applyBorder="1" applyAlignment="1">
      <alignment horizontal="left" vertical="top" indent="2"/>
    </xf>
    <xf numFmtId="14" fontId="13" fillId="2" borderId="1" xfId="0" applyNumberFormat="1" applyFont="1" applyFill="1" applyBorder="1" applyAlignment="1">
      <alignment horizontal="center" vertical="center"/>
    </xf>
    <xf numFmtId="49" fontId="92" fillId="2" borderId="0" xfId="0" applyFont="1" applyFill="1"/>
    <xf numFmtId="49" fontId="93" fillId="8" borderId="0" xfId="0" applyFont="1" applyFill="1" applyAlignment="1">
      <alignment horizontal="left" vertical="center" wrapText="1" readingOrder="1"/>
    </xf>
    <xf numFmtId="2" fontId="63" fillId="8" borderId="0" xfId="0" applyNumberFormat="1" applyFont="1" applyFill="1" applyAlignment="1">
      <alignment horizontal="right" vertical="center" wrapText="1" indent="5" readingOrder="1"/>
    </xf>
    <xf numFmtId="1" fontId="93" fillId="8" borderId="0" xfId="0" applyNumberFormat="1" applyFont="1" applyFill="1" applyAlignment="1">
      <alignment horizontal="right" vertical="center" wrapText="1" indent="5" readingOrder="1"/>
    </xf>
    <xf numFmtId="1" fontId="93" fillId="8" borderId="0" xfId="0" applyNumberFormat="1" applyFont="1" applyFill="1" applyAlignment="1">
      <alignment horizontal="right" vertical="center" wrapText="1" indent="8" readingOrder="1"/>
    </xf>
    <xf numFmtId="49" fontId="94" fillId="12" borderId="43" xfId="0" applyFont="1" applyFill="1" applyBorder="1" applyAlignment="1">
      <alignment vertical="top" wrapText="1"/>
    </xf>
    <xf numFmtId="49" fontId="62" fillId="12" borderId="43" xfId="0" applyFont="1" applyFill="1" applyBorder="1" applyAlignment="1">
      <alignment horizontal="center" vertical="center" wrapText="1" readingOrder="1"/>
    </xf>
    <xf numFmtId="49" fontId="63" fillId="15" borderId="44" xfId="0" applyFont="1" applyFill="1" applyBorder="1" applyAlignment="1">
      <alignment horizontal="left" vertical="center" wrapText="1" readingOrder="1"/>
    </xf>
    <xf numFmtId="1" fontId="63" fillId="15" borderId="44" xfId="0" applyNumberFormat="1" applyFont="1" applyFill="1" applyBorder="1" applyAlignment="1">
      <alignment horizontal="right" vertical="center" wrapText="1" indent="5" readingOrder="1"/>
    </xf>
    <xf numFmtId="49" fontId="63" fillId="15" borderId="44" xfId="0" applyFont="1" applyFill="1" applyBorder="1" applyAlignment="1">
      <alignment horizontal="right" vertical="center" wrapText="1" indent="5" readingOrder="1"/>
    </xf>
    <xf numFmtId="49" fontId="63" fillId="15" borderId="44" xfId="0" applyFont="1" applyFill="1" applyBorder="1" applyAlignment="1">
      <alignment horizontal="right" vertical="center" wrapText="1" indent="8" readingOrder="1"/>
    </xf>
    <xf numFmtId="167" fontId="63" fillId="15" borderId="44" xfId="0" applyNumberFormat="1" applyFont="1" applyFill="1" applyBorder="1" applyAlignment="1">
      <alignment horizontal="right" vertical="center" wrapText="1" indent="5" readingOrder="1"/>
    </xf>
    <xf numFmtId="49" fontId="93" fillId="15" borderId="44" xfId="0" applyFont="1" applyFill="1" applyBorder="1" applyAlignment="1">
      <alignment horizontal="left" vertical="center" wrapText="1" readingOrder="1"/>
    </xf>
    <xf numFmtId="1" fontId="93" fillId="15" borderId="44" xfId="0" applyNumberFormat="1" applyFont="1" applyFill="1" applyBorder="1" applyAlignment="1">
      <alignment horizontal="right" vertical="center" wrapText="1" indent="5" readingOrder="1"/>
    </xf>
    <xf numFmtId="49" fontId="93" fillId="15" borderId="44" xfId="0" applyFont="1" applyFill="1" applyBorder="1" applyAlignment="1">
      <alignment horizontal="right" vertical="center" wrapText="1" indent="8" readingOrder="1"/>
    </xf>
    <xf numFmtId="49" fontId="84" fillId="12" borderId="43" xfId="0" applyFont="1" applyFill="1" applyBorder="1" applyAlignment="1">
      <alignment vertical="top" wrapText="1"/>
    </xf>
    <xf numFmtId="49" fontId="95" fillId="0" borderId="0" xfId="0" applyFont="1" applyFill="1"/>
    <xf numFmtId="1" fontId="37" fillId="16" borderId="1" xfId="0" applyNumberFormat="1" applyFont="1" applyFill="1" applyBorder="1" applyAlignment="1" applyProtection="1">
      <alignment horizontal="center" vertical="center" wrapText="1" readingOrder="1"/>
      <protection locked="0"/>
    </xf>
    <xf numFmtId="49" fontId="96" fillId="0" borderId="0" xfId="0" applyFont="1" applyAlignment="1">
      <alignment horizontal="left" vertical="center" readingOrder="1"/>
    </xf>
    <xf numFmtId="49" fontId="11" fillId="2" borderId="0" xfId="0" applyFont="1" applyFill="1"/>
    <xf numFmtId="49" fontId="12" fillId="2" borderId="0" xfId="0" applyFont="1" applyFill="1" applyBorder="1"/>
    <xf numFmtId="49" fontId="45" fillId="2" borderId="0" xfId="0" applyFont="1" applyFill="1" applyBorder="1"/>
    <xf numFmtId="49" fontId="0" fillId="0" borderId="0" xfId="0" applyBorder="1" applyAlignment="1"/>
    <xf numFmtId="0" fontId="83" fillId="0" borderId="0" xfId="1" applyFont="1" applyBorder="1" applyAlignment="1" applyProtection="1"/>
    <xf numFmtId="49" fontId="90" fillId="0" borderId="0" xfId="0" applyFont="1" applyBorder="1"/>
    <xf numFmtId="0" fontId="97" fillId="10" borderId="0" xfId="1" applyFont="1" applyFill="1" applyAlignment="1" applyProtection="1">
      <alignment horizontal="center" vertical="center"/>
    </xf>
    <xf numFmtId="49" fontId="20" fillId="2" borderId="0" xfId="0" applyFont="1" applyFill="1"/>
    <xf numFmtId="49" fontId="76" fillId="12" borderId="0" xfId="0" applyFont="1" applyFill="1" applyAlignment="1">
      <alignment horizontal="center" vertical="center"/>
    </xf>
    <xf numFmtId="0" fontId="64" fillId="0" borderId="33" xfId="1" applyFont="1" applyBorder="1" applyAlignment="1" applyProtection="1">
      <alignment horizontal="left" vertical="center" wrapText="1" indent="2"/>
    </xf>
    <xf numFmtId="49" fontId="98" fillId="2" borderId="0" xfId="0" applyFont="1" applyFill="1"/>
    <xf numFmtId="49" fontId="23" fillId="2" borderId="0" xfId="0" applyFont="1" applyFill="1"/>
    <xf numFmtId="49" fontId="89" fillId="2" borderId="0" xfId="0" applyFont="1" applyFill="1"/>
    <xf numFmtId="49" fontId="23" fillId="2" borderId="0" xfId="0" applyFont="1" applyFill="1" applyAlignment="1">
      <alignment horizontal="left" vertical="top" indent="2"/>
    </xf>
    <xf numFmtId="49" fontId="23" fillId="2" borderId="0" xfId="0" applyFont="1" applyFill="1" applyBorder="1"/>
    <xf numFmtId="49" fontId="0" fillId="2" borderId="0" xfId="0" applyFill="1" applyBorder="1" applyAlignment="1"/>
    <xf numFmtId="49" fontId="0" fillId="2" borderId="0" xfId="0" applyFill="1" applyBorder="1" applyAlignment="1">
      <alignment wrapText="1"/>
    </xf>
    <xf numFmtId="0" fontId="62" fillId="2" borderId="0" xfId="1" applyFont="1" applyFill="1" applyBorder="1" applyAlignment="1" applyProtection="1">
      <alignment wrapText="1"/>
    </xf>
    <xf numFmtId="49" fontId="99" fillId="2" borderId="0" xfId="0" applyFont="1" applyFill="1" applyBorder="1" applyAlignment="1">
      <alignment wrapText="1"/>
    </xf>
    <xf numFmtId="49" fontId="75" fillId="2" borderId="0" xfId="0" applyFont="1" applyFill="1" applyBorder="1"/>
    <xf numFmtId="49" fontId="23" fillId="2" borderId="45" xfId="0" applyFont="1" applyFill="1" applyBorder="1"/>
    <xf numFmtId="49" fontId="23" fillId="2" borderId="38" xfId="0" applyFont="1" applyFill="1" applyBorder="1"/>
    <xf numFmtId="49" fontId="40" fillId="18" borderId="1" xfId="0" applyFont="1" applyFill="1" applyBorder="1" applyAlignment="1">
      <alignment horizontal="center"/>
    </xf>
    <xf numFmtId="49" fontId="40" fillId="18" borderId="0" xfId="0" applyFont="1" applyFill="1"/>
    <xf numFmtId="49" fontId="41" fillId="18" borderId="0" xfId="0" applyFont="1" applyFill="1"/>
    <xf numFmtId="0" fontId="3" fillId="18" borderId="1" xfId="3" applyFont="1" applyFill="1" applyBorder="1" applyAlignment="1">
      <alignment horizontal="left" vertical="center"/>
    </xf>
    <xf numFmtId="0" fontId="3" fillId="18" borderId="3" xfId="3" applyFont="1" applyFill="1" applyBorder="1" applyAlignment="1">
      <alignment horizontal="center" vertical="center" wrapText="1"/>
    </xf>
    <xf numFmtId="0" fontId="3" fillId="18" borderId="4" xfId="3" applyFont="1" applyFill="1" applyBorder="1" applyAlignment="1">
      <alignment horizontal="center" vertical="center" wrapText="1"/>
    </xf>
    <xf numFmtId="0" fontId="3" fillId="18" borderId="3" xfId="3" applyFont="1" applyFill="1" applyBorder="1" applyAlignment="1">
      <alignment horizontal="left" vertical="center"/>
    </xf>
    <xf numFmtId="0" fontId="3" fillId="18" borderId="2" xfId="3" applyFont="1" applyFill="1" applyBorder="1" applyAlignment="1">
      <alignment horizontal="left" vertical="center"/>
    </xf>
    <xf numFmtId="0" fontId="3" fillId="18" borderId="1" xfId="3" applyFont="1" applyFill="1" applyBorder="1" applyAlignment="1">
      <alignment horizontal="center" vertical="center"/>
    </xf>
    <xf numFmtId="49" fontId="10" fillId="18" borderId="1" xfId="0" applyFont="1" applyFill="1" applyBorder="1"/>
    <xf numFmtId="3" fontId="3" fillId="18" borderId="1" xfId="3" applyNumberFormat="1" applyFont="1" applyFill="1" applyBorder="1" applyAlignment="1">
      <alignment horizontal="left" vertical="center" wrapText="1"/>
    </xf>
    <xf numFmtId="3" fontId="3" fillId="18" borderId="1" xfId="3" applyNumberFormat="1" applyFont="1" applyFill="1" applyBorder="1" applyAlignment="1">
      <alignment horizontal="center" vertical="center" wrapText="1"/>
    </xf>
    <xf numFmtId="0" fontId="3" fillId="18" borderId="1" xfId="3" applyNumberFormat="1" applyFont="1" applyFill="1" applyBorder="1" applyAlignment="1">
      <alignment horizontal="center" vertical="center"/>
    </xf>
    <xf numFmtId="49" fontId="5" fillId="18" borderId="0" xfId="0" applyFont="1" applyFill="1"/>
    <xf numFmtId="49" fontId="9" fillId="18" borderId="0" xfId="0" applyFont="1" applyFill="1"/>
    <xf numFmtId="0" fontId="5" fillId="18" borderId="1" xfId="3" applyFont="1" applyFill="1" applyBorder="1" applyAlignment="1">
      <alignment horizontal="center" vertical="top" wrapText="1"/>
    </xf>
    <xf numFmtId="0" fontId="3" fillId="18" borderId="1" xfId="3" applyFont="1" applyFill="1" applyBorder="1" applyAlignment="1">
      <alignment horizontal="center" vertical="top" wrapText="1"/>
    </xf>
    <xf numFmtId="1" fontId="3" fillId="18" borderId="1" xfId="3" applyNumberFormat="1" applyFont="1" applyFill="1" applyBorder="1" applyAlignment="1">
      <alignment horizontal="center" vertical="top" wrapText="1"/>
    </xf>
    <xf numFmtId="1" fontId="3" fillId="18" borderId="3" xfId="3" applyNumberFormat="1" applyFont="1" applyFill="1" applyBorder="1" applyAlignment="1">
      <alignment horizontal="center" vertical="top" wrapText="1"/>
    </xf>
    <xf numFmtId="1" fontId="5" fillId="18" borderId="1" xfId="3" applyNumberFormat="1" applyFont="1" applyFill="1" applyBorder="1" applyAlignment="1">
      <alignment horizontal="center" vertical="top" wrapText="1"/>
    </xf>
    <xf numFmtId="1" fontId="100" fillId="18" borderId="1" xfId="3" applyNumberFormat="1" applyFont="1" applyFill="1" applyBorder="1" applyAlignment="1" applyProtection="1">
      <alignment horizontal="center" vertical="center"/>
      <protection locked="0"/>
    </xf>
    <xf numFmtId="0" fontId="100" fillId="18" borderId="1" xfId="3" applyFont="1" applyFill="1" applyBorder="1" applyAlignment="1">
      <alignment horizontal="center" vertical="top" wrapText="1"/>
    </xf>
    <xf numFmtId="0" fontId="100" fillId="18" borderId="1" xfId="3" applyFont="1" applyFill="1" applyBorder="1" applyAlignment="1" applyProtection="1">
      <alignment horizontal="center" vertical="center"/>
      <protection locked="0"/>
    </xf>
    <xf numFmtId="49" fontId="100" fillId="18" borderId="1" xfId="0" applyFont="1" applyFill="1" applyBorder="1" applyAlignment="1">
      <alignment horizontal="center"/>
    </xf>
    <xf numFmtId="49" fontId="1" fillId="18" borderId="0" xfId="0" applyFont="1" applyFill="1"/>
    <xf numFmtId="49" fontId="3" fillId="9" borderId="1" xfId="0" applyFont="1" applyFill="1" applyBorder="1" applyAlignment="1">
      <alignment horizontal="center"/>
    </xf>
    <xf numFmtId="49" fontId="3" fillId="9" borderId="8" xfId="0" applyFont="1" applyFill="1" applyBorder="1" applyAlignment="1">
      <alignment horizontal="center"/>
    </xf>
    <xf numFmtId="49" fontId="3" fillId="9" borderId="9" xfId="0" applyFont="1" applyFill="1" applyBorder="1" applyAlignment="1">
      <alignment horizontal="center"/>
    </xf>
    <xf numFmtId="49" fontId="3" fillId="9" borderId="10" xfId="0" applyFont="1" applyFill="1" applyBorder="1" applyAlignment="1">
      <alignment horizontal="center"/>
    </xf>
    <xf numFmtId="49" fontId="3" fillId="9" borderId="11" xfId="0" applyFont="1" applyFill="1" applyBorder="1" applyAlignment="1">
      <alignment horizontal="center"/>
    </xf>
    <xf numFmtId="49" fontId="3" fillId="9" borderId="10" xfId="0" applyFont="1" applyFill="1" applyBorder="1" applyAlignment="1"/>
    <xf numFmtId="49" fontId="3" fillId="9" borderId="11" xfId="0" applyFont="1" applyFill="1" applyBorder="1" applyAlignment="1"/>
    <xf numFmtId="49" fontId="3" fillId="9" borderId="10" xfId="0" applyFont="1" applyFill="1" applyBorder="1"/>
    <xf numFmtId="49" fontId="3" fillId="9" borderId="11" xfId="0" applyFont="1" applyFill="1" applyBorder="1"/>
    <xf numFmtId="49" fontId="3" fillId="9" borderId="12" xfId="0" applyFont="1" applyFill="1" applyBorder="1"/>
    <xf numFmtId="49" fontId="3" fillId="9" borderId="2" xfId="0" applyFont="1" applyFill="1" applyBorder="1"/>
    <xf numFmtId="49" fontId="5" fillId="9" borderId="3" xfId="0" applyFont="1" applyFill="1" applyBorder="1" applyAlignment="1">
      <alignment horizontal="left" vertical="center"/>
    </xf>
    <xf numFmtId="49" fontId="5" fillId="9" borderId="46" xfId="0" applyFont="1" applyFill="1" applyBorder="1" applyAlignment="1">
      <alignment vertical="center"/>
    </xf>
    <xf numFmtId="49" fontId="3" fillId="9" borderId="7" xfId="0" applyFont="1" applyFill="1" applyBorder="1" applyAlignment="1">
      <alignment horizontal="center" vertical="center" wrapText="1"/>
    </xf>
    <xf numFmtId="49" fontId="3" fillId="9" borderId="2" xfId="0" applyFont="1" applyFill="1" applyBorder="1" applyAlignment="1">
      <alignment horizontal="center" vertical="center" wrapText="1"/>
    </xf>
    <xf numFmtId="164" fontId="101" fillId="9" borderId="2" xfId="0" applyNumberFormat="1" applyFont="1" applyFill="1" applyBorder="1" applyAlignment="1" applyProtection="1">
      <alignment horizontal="right" vertical="center"/>
      <protection locked="0"/>
    </xf>
    <xf numFmtId="164" fontId="5" fillId="9" borderId="7" xfId="0" applyNumberFormat="1" applyFont="1" applyFill="1" applyBorder="1" applyAlignment="1">
      <alignment horizontal="right" vertical="center"/>
    </xf>
    <xf numFmtId="164" fontId="5" fillId="9" borderId="2" xfId="0" applyNumberFormat="1" applyFont="1" applyFill="1" applyBorder="1" applyAlignment="1">
      <alignment horizontal="right" vertical="center"/>
    </xf>
    <xf numFmtId="49" fontId="5" fillId="9" borderId="1" xfId="0" applyFont="1" applyFill="1" applyBorder="1" applyAlignment="1">
      <alignment horizontal="center" wrapText="1"/>
    </xf>
    <xf numFmtId="49" fontId="101" fillId="9" borderId="1" xfId="0" applyFont="1" applyFill="1" applyBorder="1" applyAlignment="1">
      <alignment horizontal="left" vertical="center" wrapText="1"/>
    </xf>
    <xf numFmtId="49" fontId="101" fillId="9" borderId="7" xfId="0" applyFont="1" applyFill="1" applyBorder="1" applyAlignment="1">
      <alignment horizontal="left" vertical="center" wrapText="1"/>
    </xf>
    <xf numFmtId="49" fontId="5" fillId="9" borderId="12" xfId="0" applyFont="1" applyFill="1" applyBorder="1" applyAlignment="1">
      <alignment vertical="center"/>
    </xf>
    <xf numFmtId="49" fontId="3" fillId="9" borderId="1" xfId="0" applyFont="1" applyFill="1" applyBorder="1"/>
    <xf numFmtId="0" fontId="3" fillId="9" borderId="1" xfId="0" applyNumberFormat="1" applyFont="1" applyFill="1" applyBorder="1" applyAlignment="1">
      <alignment horizontal="center"/>
    </xf>
    <xf numFmtId="49" fontId="44" fillId="9" borderId="1" xfId="0" applyFont="1" applyFill="1" applyBorder="1"/>
    <xf numFmtId="49" fontId="3" fillId="9" borderId="1" xfId="0" applyFont="1" applyFill="1" applyBorder="1" applyAlignment="1"/>
    <xf numFmtId="49" fontId="5" fillId="9" borderId="0" xfId="0" applyFont="1" applyFill="1" applyBorder="1"/>
    <xf numFmtId="0" fontId="3" fillId="9" borderId="0" xfId="0" applyNumberFormat="1" applyFont="1" applyFill="1" applyBorder="1"/>
    <xf numFmtId="49" fontId="3" fillId="9" borderId="0" xfId="0" applyFont="1" applyFill="1" applyBorder="1"/>
    <xf numFmtId="49" fontId="44" fillId="9" borderId="0" xfId="0" applyFont="1" applyFill="1" applyBorder="1"/>
    <xf numFmtId="49" fontId="5" fillId="9" borderId="0" xfId="0" applyFont="1" applyFill="1" applyBorder="1" applyAlignment="1"/>
    <xf numFmtId="49" fontId="3" fillId="9" borderId="0" xfId="0" applyFont="1" applyFill="1" applyBorder="1" applyAlignment="1"/>
    <xf numFmtId="49" fontId="44" fillId="9" borderId="4" xfId="0" applyFont="1" applyFill="1" applyBorder="1"/>
    <xf numFmtId="49" fontId="40" fillId="9" borderId="1" xfId="0" applyFont="1" applyFill="1" applyBorder="1" applyAlignment="1">
      <alignment horizontal="center"/>
    </xf>
    <xf numFmtId="164" fontId="101" fillId="9" borderId="1" xfId="0" applyNumberFormat="1" applyFont="1" applyFill="1" applyBorder="1" applyAlignment="1" applyProtection="1">
      <alignment horizontal="right" vertical="center"/>
      <protection locked="0"/>
    </xf>
    <xf numFmtId="49" fontId="5" fillId="9" borderId="1" xfId="0" applyFont="1" applyFill="1" applyBorder="1" applyAlignment="1">
      <alignment vertical="center"/>
    </xf>
    <xf numFmtId="164" fontId="5" fillId="9" borderId="1" xfId="0" applyNumberFormat="1" applyFont="1" applyFill="1" applyBorder="1" applyAlignment="1">
      <alignment horizontal="right" vertical="center"/>
    </xf>
    <xf numFmtId="49" fontId="1" fillId="9" borderId="0" xfId="0" applyFont="1" applyFill="1" applyBorder="1"/>
    <xf numFmtId="9" fontId="1" fillId="9" borderId="0" xfId="0" applyNumberFormat="1" applyFont="1" applyFill="1" applyBorder="1"/>
    <xf numFmtId="49" fontId="5" fillId="9" borderId="0" xfId="0" applyFont="1" applyFill="1"/>
    <xf numFmtId="49" fontId="1" fillId="9" borderId="0" xfId="0" applyFont="1" applyFill="1"/>
    <xf numFmtId="49" fontId="44" fillId="9" borderId="0" xfId="0" applyFont="1" applyFill="1"/>
    <xf numFmtId="49" fontId="102" fillId="0" borderId="0" xfId="0" applyFont="1" applyBorder="1"/>
    <xf numFmtId="49" fontId="47" fillId="0" borderId="0" xfId="0" quotePrefix="1" applyFont="1" applyBorder="1" applyAlignment="1"/>
    <xf numFmtId="49" fontId="9" fillId="9" borderId="0" xfId="0" applyFont="1" applyFill="1" applyBorder="1" applyAlignment="1"/>
    <xf numFmtId="49" fontId="41" fillId="9" borderId="0" xfId="0" applyFont="1" applyFill="1"/>
    <xf numFmtId="49" fontId="3" fillId="9" borderId="0" xfId="0" applyFont="1" applyFill="1" applyAlignment="1"/>
    <xf numFmtId="49" fontId="0" fillId="9" borderId="0" xfId="0" applyFill="1"/>
    <xf numFmtId="49" fontId="9" fillId="9" borderId="0" xfId="0" applyFont="1" applyFill="1"/>
    <xf numFmtId="0" fontId="104" fillId="12" borderId="0" xfId="1" applyFont="1" applyFill="1" applyAlignment="1" applyProtection="1">
      <alignment horizontal="left" vertical="center"/>
    </xf>
    <xf numFmtId="0" fontId="104" fillId="12" borderId="0" xfId="1" applyFont="1" applyFill="1" applyAlignment="1" applyProtection="1">
      <alignment horizontal="left"/>
    </xf>
    <xf numFmtId="49" fontId="40" fillId="9" borderId="0" xfId="0" applyFont="1" applyFill="1"/>
    <xf numFmtId="49" fontId="105" fillId="9" borderId="0" xfId="0" applyFont="1" applyFill="1"/>
    <xf numFmtId="49" fontId="19" fillId="9" borderId="0" xfId="0" applyFont="1" applyFill="1"/>
    <xf numFmtId="49" fontId="102" fillId="9" borderId="0" xfId="0" applyFont="1" applyFill="1" applyBorder="1"/>
    <xf numFmtId="49" fontId="65" fillId="9" borderId="0" xfId="0" applyFont="1" applyFill="1" applyBorder="1"/>
    <xf numFmtId="49" fontId="14" fillId="9" borderId="0" xfId="0" applyFont="1" applyFill="1" applyBorder="1"/>
    <xf numFmtId="49" fontId="106" fillId="0" borderId="0" xfId="0" applyFont="1"/>
    <xf numFmtId="49" fontId="63" fillId="0" borderId="0" xfId="0" applyFont="1" applyBorder="1" applyAlignment="1">
      <alignment horizontal="left" vertical="top" wrapText="1" indent="1"/>
    </xf>
    <xf numFmtId="49" fontId="23" fillId="2" borderId="30" xfId="0" applyFont="1" applyFill="1" applyBorder="1"/>
    <xf numFmtId="49" fontId="90" fillId="0" borderId="33" xfId="0" applyFont="1" applyBorder="1" applyAlignment="1">
      <alignment horizontal="left" vertical="center" wrapText="1" indent="2"/>
    </xf>
    <xf numFmtId="49" fontId="23" fillId="0" borderId="47" xfId="0" applyFont="1" applyBorder="1" applyAlignment="1">
      <alignment horizontal="left" vertical="top" indent="2"/>
    </xf>
    <xf numFmtId="0" fontId="64" fillId="0" borderId="42" xfId="1" applyFont="1" applyBorder="1" applyAlignment="1" applyProtection="1">
      <alignment horizontal="left" vertical="center" wrapText="1" indent="2"/>
    </xf>
    <xf numFmtId="49" fontId="76" fillId="10" borderId="32" xfId="0" applyFont="1" applyFill="1" applyBorder="1" applyAlignment="1">
      <alignment horizontal="center" vertical="center" wrapText="1"/>
    </xf>
    <xf numFmtId="0" fontId="86" fillId="2" borderId="0" xfId="1" applyFont="1" applyFill="1" applyAlignment="1" applyProtection="1">
      <alignment horizontal="left" vertical="center"/>
    </xf>
    <xf numFmtId="49" fontId="107" fillId="0" borderId="0" xfId="0" applyFont="1" applyFill="1"/>
    <xf numFmtId="0" fontId="64" fillId="0" borderId="0" xfId="1" applyFont="1" applyBorder="1" applyAlignment="1" applyProtection="1"/>
    <xf numFmtId="49" fontId="22" fillId="0" borderId="0" xfId="0" applyFont="1" applyFill="1"/>
    <xf numFmtId="49" fontId="0" fillId="0" borderId="0" xfId="0" applyFill="1" applyAlignment="1"/>
    <xf numFmtId="49" fontId="63" fillId="0" borderId="0" xfId="0" applyFont="1" applyFill="1" applyBorder="1"/>
    <xf numFmtId="49" fontId="70" fillId="0" borderId="0" xfId="0" applyFont="1" applyFill="1" applyBorder="1"/>
    <xf numFmtId="0" fontId="72" fillId="0" borderId="0" xfId="1" applyFont="1" applyFill="1" applyBorder="1" applyAlignment="1" applyProtection="1"/>
    <xf numFmtId="49" fontId="62" fillId="0" borderId="0" xfId="0" applyFont="1" applyFill="1" applyBorder="1" applyAlignment="1">
      <alignment horizontal="center"/>
    </xf>
    <xf numFmtId="49" fontId="84" fillId="0" borderId="0" xfId="0" applyFont="1" applyFill="1" applyBorder="1"/>
    <xf numFmtId="49" fontId="90" fillId="0" borderId="0" xfId="0" applyFont="1" applyFill="1" applyBorder="1"/>
    <xf numFmtId="49" fontId="48" fillId="2" borderId="0" xfId="0" applyFont="1" applyFill="1" applyBorder="1"/>
    <xf numFmtId="1" fontId="48" fillId="2" borderId="0" xfId="0" applyNumberFormat="1" applyFont="1" applyFill="1" applyBorder="1"/>
    <xf numFmtId="49" fontId="109" fillId="9" borderId="0" xfId="0" applyFont="1" applyFill="1"/>
    <xf numFmtId="49" fontId="108" fillId="10" borderId="0" xfId="0" applyFont="1" applyFill="1" applyBorder="1" applyAlignment="1">
      <alignment horizontal="center" vertical="center"/>
    </xf>
    <xf numFmtId="49" fontId="110" fillId="12" borderId="0" xfId="0" applyFont="1" applyFill="1"/>
    <xf numFmtId="49" fontId="108" fillId="9" borderId="0" xfId="0" applyFont="1" applyFill="1"/>
    <xf numFmtId="49" fontId="111" fillId="9" borderId="0" xfId="0" applyFont="1" applyFill="1" applyBorder="1" applyAlignment="1"/>
    <xf numFmtId="49" fontId="48" fillId="9" borderId="0" xfId="0" applyFont="1" applyFill="1" applyAlignment="1"/>
    <xf numFmtId="49" fontId="48" fillId="9" borderId="0" xfId="0" applyFont="1" applyFill="1"/>
    <xf numFmtId="49" fontId="112" fillId="9" borderId="0" xfId="0" applyFont="1" applyFill="1"/>
    <xf numFmtId="0" fontId="64" fillId="0" borderId="0" xfId="1" applyFont="1" applyFill="1" applyBorder="1" applyAlignment="1" applyProtection="1"/>
    <xf numFmtId="49" fontId="0" fillId="0" borderId="0" xfId="0" applyAlignment="1">
      <alignment wrapText="1"/>
    </xf>
    <xf numFmtId="49" fontId="114" fillId="10" borderId="0" xfId="0" applyFont="1" applyFill="1" applyAlignment="1">
      <alignment horizontal="center"/>
    </xf>
    <xf numFmtId="49" fontId="114" fillId="0" borderId="0" xfId="0" applyFont="1" applyAlignment="1">
      <alignment horizontal="center"/>
    </xf>
    <xf numFmtId="49" fontId="62" fillId="2" borderId="0" xfId="0" applyFont="1" applyFill="1" applyBorder="1" applyAlignment="1">
      <alignment horizontal="center" vertical="center" wrapText="1"/>
    </xf>
    <xf numFmtId="0" fontId="117" fillId="2" borderId="0" xfId="1" quotePrefix="1" applyFont="1" applyFill="1" applyBorder="1" applyAlignment="1" applyProtection="1">
      <alignment horizontal="center" vertical="center" wrapText="1"/>
    </xf>
    <xf numFmtId="49" fontId="84" fillId="10" borderId="0" xfId="0" applyFont="1" applyFill="1" applyBorder="1"/>
    <xf numFmtId="49" fontId="119" fillId="10" borderId="0" xfId="0" applyFont="1" applyFill="1" applyBorder="1"/>
    <xf numFmtId="49" fontId="67" fillId="20" borderId="0" xfId="0" applyFont="1" applyFill="1" applyBorder="1" applyAlignment="1">
      <alignment horizontal="center" vertical="top" wrapText="1"/>
    </xf>
    <xf numFmtId="49" fontId="68" fillId="20" borderId="0" xfId="0" applyFont="1" applyFill="1" applyBorder="1" applyAlignment="1">
      <alignment horizontal="center" vertical="top" wrapText="1"/>
    </xf>
    <xf numFmtId="49" fontId="121" fillId="0" borderId="0" xfId="0" applyFont="1" applyBorder="1"/>
    <xf numFmtId="49" fontId="0" fillId="0" borderId="0" xfId="0" applyFill="1" applyBorder="1"/>
    <xf numFmtId="49" fontId="123" fillId="0" borderId="0" xfId="0" applyFont="1" applyAlignment="1">
      <alignment horizontal="center"/>
    </xf>
    <xf numFmtId="0" fontId="64" fillId="0" borderId="0" xfId="1" applyFont="1" applyBorder="1" applyAlignment="1" applyProtection="1"/>
    <xf numFmtId="49" fontId="32" fillId="3" borderId="14" xfId="0" applyFont="1" applyFill="1" applyBorder="1"/>
    <xf numFmtId="1" fontId="32" fillId="3" borderId="14" xfId="0" applyNumberFormat="1" applyFont="1" applyFill="1" applyBorder="1"/>
    <xf numFmtId="49" fontId="0" fillId="3" borderId="0" xfId="0" applyFill="1"/>
    <xf numFmtId="49" fontId="124" fillId="10" borderId="0" xfId="0" applyFont="1" applyFill="1" applyAlignment="1">
      <alignment horizontal="center"/>
    </xf>
    <xf numFmtId="0" fontId="125" fillId="2" borderId="0" xfId="1" applyFont="1" applyFill="1" applyAlignment="1" applyProtection="1">
      <alignment horizontal="center" vertical="center"/>
    </xf>
    <xf numFmtId="49" fontId="127" fillId="10" borderId="8" xfId="0" applyFont="1" applyFill="1" applyBorder="1" applyAlignment="1">
      <alignment horizontal="center"/>
    </xf>
    <xf numFmtId="49" fontId="99" fillId="10" borderId="5" xfId="0" applyFont="1" applyFill="1" applyBorder="1" applyAlignment="1">
      <alignment horizontal="center"/>
    </xf>
    <xf numFmtId="49" fontId="99" fillId="10" borderId="9" xfId="0" applyFont="1" applyFill="1" applyBorder="1" applyAlignment="1">
      <alignment horizontal="center"/>
    </xf>
    <xf numFmtId="49" fontId="99" fillId="10" borderId="10" xfId="0" applyFont="1" applyFill="1" applyBorder="1" applyAlignment="1">
      <alignment horizontal="center"/>
    </xf>
    <xf numFmtId="49" fontId="99" fillId="10" borderId="0" xfId="0" applyFont="1" applyFill="1" applyBorder="1" applyAlignment="1">
      <alignment horizontal="center"/>
    </xf>
    <xf numFmtId="49" fontId="99" fillId="10" borderId="11" xfId="0" applyFont="1" applyFill="1" applyBorder="1" applyAlignment="1">
      <alignment horizontal="center"/>
    </xf>
    <xf numFmtId="49" fontId="127" fillId="10" borderId="8" xfId="0" applyFont="1" applyFill="1" applyBorder="1" applyAlignment="1">
      <alignment horizontal="left"/>
    </xf>
    <xf numFmtId="49" fontId="99" fillId="10" borderId="5" xfId="0" applyFont="1" applyFill="1" applyBorder="1" applyAlignment="1">
      <alignment horizontal="left"/>
    </xf>
    <xf numFmtId="49" fontId="99" fillId="10" borderId="9" xfId="0" applyFont="1" applyFill="1" applyBorder="1" applyAlignment="1">
      <alignment horizontal="left"/>
    </xf>
    <xf numFmtId="49" fontId="99" fillId="10" borderId="10" xfId="0" applyFont="1" applyFill="1" applyBorder="1" applyAlignment="1">
      <alignment horizontal="left"/>
    </xf>
    <xf numFmtId="49" fontId="99" fillId="10" borderId="0" xfId="0" applyFont="1" applyFill="1" applyBorder="1" applyAlignment="1">
      <alignment horizontal="left"/>
    </xf>
    <xf numFmtId="49" fontId="99" fillId="10" borderId="11" xfId="0" applyFont="1" applyFill="1" applyBorder="1" applyAlignment="1">
      <alignment horizontal="left"/>
    </xf>
    <xf numFmtId="49" fontId="32" fillId="0" borderId="0" xfId="0" applyFont="1" applyBorder="1"/>
    <xf numFmtId="49" fontId="114" fillId="0" borderId="0" xfId="0" applyFont="1"/>
    <xf numFmtId="49" fontId="128" fillId="0" borderId="0" xfId="0" applyFont="1"/>
    <xf numFmtId="0" fontId="142" fillId="2" borderId="0" xfId="1" applyFill="1" applyBorder="1" applyAlignment="1" applyProtection="1"/>
    <xf numFmtId="49" fontId="26" fillId="2" borderId="0" xfId="0" applyFont="1" applyFill="1"/>
    <xf numFmtId="49" fontId="25" fillId="2" borderId="0" xfId="0" applyFont="1" applyFill="1" applyBorder="1"/>
    <xf numFmtId="0" fontId="87" fillId="2" borderId="0" xfId="1" applyFont="1" applyFill="1" applyBorder="1" applyAlignment="1" applyProtection="1"/>
    <xf numFmtId="0" fontId="64" fillId="0" borderId="32" xfId="1" applyFont="1" applyBorder="1" applyAlignment="1" applyProtection="1">
      <alignment horizontal="left" vertical="center" wrapText="1" indent="2"/>
    </xf>
    <xf numFmtId="49" fontId="63" fillId="0" borderId="32" xfId="0" applyFont="1" applyBorder="1" applyAlignment="1">
      <alignment horizontal="left" vertical="center" wrapText="1" indent="2"/>
    </xf>
    <xf numFmtId="49" fontId="76" fillId="12" borderId="0" xfId="0" applyFont="1" applyFill="1" applyAlignment="1">
      <alignment horizontal="center" vertical="center"/>
    </xf>
    <xf numFmtId="49" fontId="46" fillId="0" borderId="0" xfId="0" applyFont="1" applyAlignment="1">
      <alignment horizontal="left" vertical="top"/>
    </xf>
    <xf numFmtId="0" fontId="22" fillId="0" borderId="0" xfId="6" applyBorder="1">
      <alignment horizontal="left" vertical="center" wrapText="1"/>
    </xf>
    <xf numFmtId="49" fontId="22" fillId="3" borderId="0" xfId="0" applyFont="1" applyFill="1" applyBorder="1"/>
    <xf numFmtId="49" fontId="156" fillId="10" borderId="0" xfId="0" applyFont="1" applyFill="1"/>
    <xf numFmtId="49" fontId="3" fillId="10" borderId="0" xfId="0" applyFont="1" applyFill="1" applyAlignment="1">
      <alignment horizontal="center"/>
    </xf>
    <xf numFmtId="49" fontId="3" fillId="0" borderId="0" xfId="0" applyFont="1" applyAlignment="1">
      <alignment horizontal="center"/>
    </xf>
    <xf numFmtId="49" fontId="44" fillId="0" borderId="0" xfId="0" applyFont="1" applyAlignment="1">
      <alignment horizontal="center"/>
    </xf>
    <xf numFmtId="0" fontId="142" fillId="0" borderId="0" xfId="1" applyFont="1" applyFill="1" applyAlignment="1" applyProtection="1">
      <alignment horizontal="center" vertical="center"/>
    </xf>
    <xf numFmtId="49" fontId="157" fillId="0" borderId="0" xfId="0" applyFont="1"/>
    <xf numFmtId="49" fontId="160" fillId="0" borderId="0" xfId="0" applyFont="1"/>
    <xf numFmtId="49" fontId="161" fillId="0" borderId="0" xfId="0" applyFont="1"/>
    <xf numFmtId="49" fontId="133" fillId="0" borderId="0" xfId="0" applyFont="1"/>
    <xf numFmtId="49" fontId="161" fillId="13" borderId="0" xfId="0" applyFont="1" applyFill="1"/>
    <xf numFmtId="168" fontId="61" fillId="2" borderId="1" xfId="0" applyNumberFormat="1" applyFont="1" applyFill="1" applyBorder="1" applyAlignment="1" applyProtection="1">
      <alignment horizontal="right" vertical="center" wrapText="1" readingOrder="1"/>
      <protection locked="0"/>
    </xf>
    <xf numFmtId="49" fontId="164" fillId="2" borderId="1" xfId="0" applyFont="1" applyFill="1" applyBorder="1" applyAlignment="1">
      <alignment horizontal="center" vertical="center" wrapText="1" readingOrder="1"/>
    </xf>
    <xf numFmtId="49" fontId="165" fillId="0" borderId="0" xfId="0" applyFont="1"/>
    <xf numFmtId="168" fontId="14" fillId="0" borderId="0" xfId="4" applyNumberFormat="1" applyFont="1"/>
    <xf numFmtId="167" fontId="13" fillId="2" borderId="0" xfId="4" applyNumberFormat="1" applyFont="1" applyFill="1" applyAlignment="1">
      <alignment horizontal="right" indent="2"/>
    </xf>
    <xf numFmtId="49" fontId="166" fillId="0" borderId="0" xfId="0" applyFont="1" applyAlignment="1">
      <alignment vertical="center"/>
    </xf>
    <xf numFmtId="49" fontId="107" fillId="0" borderId="0" xfId="0" applyFont="1" applyAlignment="1">
      <alignment vertical="center"/>
    </xf>
    <xf numFmtId="49" fontId="13" fillId="0" borderId="19" xfId="0" pivotButton="1" applyFont="1" applyBorder="1"/>
    <xf numFmtId="49" fontId="0" fillId="0" borderId="80" xfId="0" applyBorder="1"/>
    <xf numFmtId="49" fontId="167" fillId="0" borderId="0" xfId="0" applyFont="1"/>
    <xf numFmtId="49" fontId="169" fillId="0" borderId="0" xfId="0" applyFont="1" applyAlignment="1">
      <alignment horizontal="left" vertical="top"/>
    </xf>
    <xf numFmtId="49" fontId="162" fillId="0" borderId="0" xfId="0" applyFont="1"/>
    <xf numFmtId="49" fontId="170" fillId="0" borderId="0" xfId="0" applyFont="1"/>
    <xf numFmtId="1" fontId="162" fillId="0" borderId="0" xfId="0" applyNumberFormat="1" applyFont="1" applyAlignment="1">
      <alignment horizontal="right" indent="2"/>
    </xf>
    <xf numFmtId="168" fontId="167" fillId="0" borderId="0" xfId="4" applyNumberFormat="1" applyFont="1"/>
    <xf numFmtId="167" fontId="162" fillId="8" borderId="0" xfId="4" applyNumberFormat="1" applyFont="1" applyFill="1" applyAlignment="1">
      <alignment horizontal="right" indent="2"/>
    </xf>
    <xf numFmtId="1" fontId="162" fillId="8" borderId="0" xfId="0" applyNumberFormat="1" applyFont="1" applyFill="1" applyAlignment="1">
      <alignment horizontal="right" indent="2"/>
    </xf>
    <xf numFmtId="49" fontId="171" fillId="10" borderId="0" xfId="0" applyFont="1" applyFill="1"/>
    <xf numFmtId="49" fontId="29" fillId="10" borderId="0" xfId="0" applyFont="1" applyFill="1"/>
    <xf numFmtId="49" fontId="29" fillId="0" borderId="0" xfId="0" applyFont="1"/>
    <xf numFmtId="49" fontId="169" fillId="0" borderId="0" xfId="0" applyFont="1"/>
    <xf numFmtId="49" fontId="172" fillId="0" borderId="0" xfId="0" applyFont="1"/>
    <xf numFmtId="49" fontId="29" fillId="2" borderId="0" xfId="0" applyFont="1" applyFill="1"/>
    <xf numFmtId="0" fontId="97" fillId="2" borderId="0" xfId="1" applyFont="1" applyFill="1" applyAlignment="1" applyProtection="1">
      <alignment horizontal="center" vertical="center"/>
    </xf>
    <xf numFmtId="49" fontId="172" fillId="2" borderId="0" xfId="0" applyFont="1" applyFill="1"/>
    <xf numFmtId="49" fontId="163" fillId="0" borderId="0" xfId="0" applyFont="1" applyFill="1" applyAlignment="1">
      <alignment vertical="top" wrapText="1"/>
    </xf>
    <xf numFmtId="49" fontId="61" fillId="0" borderId="0" xfId="0" applyFont="1" applyFill="1"/>
    <xf numFmtId="49" fontId="172" fillId="0" borderId="0" xfId="0" applyFont="1" applyAlignment="1">
      <alignment horizontal="center"/>
    </xf>
    <xf numFmtId="49" fontId="29" fillId="0" borderId="0" xfId="0" applyFont="1" applyBorder="1"/>
    <xf numFmtId="49" fontId="175" fillId="0" borderId="0" xfId="0" applyFont="1"/>
    <xf numFmtId="49" fontId="155" fillId="0" borderId="0" xfId="0" applyFont="1"/>
    <xf numFmtId="49" fontId="153" fillId="6" borderId="1" xfId="0" applyFont="1" applyFill="1" applyBorder="1" applyAlignment="1">
      <alignment horizontal="center" vertical="center" wrapText="1" readingOrder="1"/>
    </xf>
    <xf numFmtId="49" fontId="153" fillId="7" borderId="4" xfId="0" applyFont="1" applyFill="1" applyBorder="1" applyAlignment="1">
      <alignment horizontal="center" vertical="center" wrapText="1" readingOrder="1"/>
    </xf>
    <xf numFmtId="0" fontId="29" fillId="17" borderId="26" xfId="0" applyNumberFormat="1" applyFont="1" applyFill="1" applyBorder="1" applyAlignment="1">
      <alignment horizontal="center" vertical="center"/>
    </xf>
    <xf numFmtId="1" fontId="78" fillId="3" borderId="1" xfId="0" applyNumberFormat="1" applyFont="1" applyFill="1" applyBorder="1" applyAlignment="1" applyProtection="1">
      <alignment horizontal="right" vertical="center" wrapText="1" indent="2" readingOrder="1"/>
      <protection locked="0"/>
    </xf>
    <xf numFmtId="168" fontId="176" fillId="2" borderId="4" xfId="4" applyNumberFormat="1" applyFont="1" applyFill="1" applyBorder="1" applyAlignment="1">
      <alignment horizontal="center" vertical="center" wrapText="1" readingOrder="1"/>
    </xf>
    <xf numFmtId="168" fontId="155" fillId="8" borderId="1" xfId="0" applyNumberFormat="1" applyFont="1" applyFill="1" applyBorder="1" applyAlignment="1">
      <alignment horizontal="right" vertical="center" wrapText="1" indent="2"/>
    </xf>
    <xf numFmtId="167" fontId="154" fillId="8" borderId="1" xfId="0" applyNumberFormat="1" applyFont="1" applyFill="1" applyBorder="1" applyAlignment="1" applyProtection="1">
      <alignment horizontal="right" vertical="center" wrapText="1" indent="2" readingOrder="1"/>
      <protection locked="0"/>
    </xf>
    <xf numFmtId="49" fontId="175" fillId="0" borderId="5" xfId="0" applyFont="1" applyBorder="1" applyAlignment="1">
      <alignment horizontal="left" vertical="center" readingOrder="1"/>
    </xf>
    <xf numFmtId="49" fontId="177" fillId="0" borderId="5" xfId="0" applyFont="1" applyBorder="1" applyAlignment="1">
      <alignment horizontal="left" vertical="center" readingOrder="1"/>
    </xf>
    <xf numFmtId="49" fontId="175" fillId="0" borderId="0" xfId="0" applyFont="1" applyAlignment="1">
      <alignment horizontal="left" vertical="center" readingOrder="1"/>
    </xf>
    <xf numFmtId="168" fontId="78" fillId="0" borderId="0" xfId="0" applyNumberFormat="1" applyFont="1" applyAlignment="1" applyProtection="1">
      <alignment horizontal="center" vertical="top" wrapText="1" readingOrder="1"/>
      <protection locked="0"/>
    </xf>
    <xf numFmtId="49" fontId="176" fillId="0" borderId="0" xfId="0" applyFont="1" applyAlignment="1">
      <alignment horizontal="center" wrapText="1" readingOrder="1"/>
    </xf>
    <xf numFmtId="168" fontId="78" fillId="0" borderId="0" xfId="0" applyNumberFormat="1" applyFont="1" applyAlignment="1" applyProtection="1">
      <alignment horizontal="right" wrapText="1" indent="2" readingOrder="1"/>
      <protection locked="0"/>
    </xf>
    <xf numFmtId="1" fontId="155" fillId="0" borderId="0" xfId="0" applyNumberFormat="1" applyFont="1" applyAlignment="1">
      <alignment horizontal="right" indent="2"/>
    </xf>
    <xf numFmtId="49" fontId="177" fillId="0" borderId="0" xfId="0" applyFont="1"/>
    <xf numFmtId="167" fontId="155" fillId="8" borderId="0" xfId="4" applyNumberFormat="1" applyFont="1" applyFill="1" applyAlignment="1">
      <alignment horizontal="right" indent="2"/>
    </xf>
    <xf numFmtId="167" fontId="155" fillId="0" borderId="0" xfId="4" applyNumberFormat="1" applyFont="1" applyFill="1" applyAlignment="1">
      <alignment horizontal="right" indent="2"/>
    </xf>
    <xf numFmtId="1" fontId="155" fillId="0" borderId="0" xfId="4" applyNumberFormat="1" applyFont="1" applyFill="1" applyAlignment="1">
      <alignment horizontal="right" indent="2"/>
    </xf>
    <xf numFmtId="1" fontId="155" fillId="8" borderId="0" xfId="0" applyNumberFormat="1" applyFont="1" applyFill="1" applyAlignment="1">
      <alignment horizontal="right" indent="2"/>
    </xf>
    <xf numFmtId="10" fontId="155" fillId="0" borderId="0" xfId="0" applyNumberFormat="1" applyFont="1" applyAlignment="1">
      <alignment horizontal="center" wrapText="1"/>
    </xf>
    <xf numFmtId="49" fontId="168" fillId="0" borderId="0" xfId="0" applyFont="1"/>
    <xf numFmtId="49" fontId="3" fillId="0" borderId="1" xfId="0" applyFont="1" applyBorder="1" applyAlignment="1">
      <alignment horizontal="center" vertical="center" shrinkToFit="1"/>
    </xf>
    <xf numFmtId="14" fontId="3" fillId="0" borderId="1" xfId="0" applyNumberFormat="1" applyFont="1" applyBorder="1" applyAlignment="1">
      <alignment horizontal="center" shrinkToFit="1"/>
    </xf>
    <xf numFmtId="14" fontId="3" fillId="0" borderId="1" xfId="0" applyNumberFormat="1" applyFont="1" applyBorder="1" applyAlignment="1">
      <alignment horizontal="center" vertical="center" shrinkToFit="1"/>
    </xf>
    <xf numFmtId="14" fontId="3" fillId="0" borderId="1" xfId="0" applyNumberFormat="1" applyFont="1" applyBorder="1" applyAlignment="1">
      <alignment shrinkToFit="1"/>
    </xf>
    <xf numFmtId="49" fontId="3" fillId="0" borderId="1" xfId="0" applyFont="1" applyBorder="1" applyAlignment="1">
      <alignment wrapText="1" shrinkToFit="1"/>
    </xf>
    <xf numFmtId="49" fontId="3" fillId="0" borderId="1" xfId="0" applyFont="1" applyBorder="1" applyAlignment="1">
      <alignment shrinkToFit="1"/>
    </xf>
    <xf numFmtId="49" fontId="3" fillId="0" borderId="1" xfId="0" applyNumberFormat="1" applyFont="1" applyBorder="1" applyAlignment="1">
      <alignment horizontal="right" shrinkToFit="1"/>
    </xf>
    <xf numFmtId="0" fontId="3" fillId="0" borderId="1" xfId="0" applyNumberFormat="1" applyFont="1" applyBorder="1" applyAlignment="1">
      <alignment horizontal="right" shrinkToFit="1"/>
    </xf>
    <xf numFmtId="1" fontId="3" fillId="0" borderId="1" xfId="0" applyNumberFormat="1" applyFont="1" applyBorder="1" applyAlignment="1">
      <alignment shrinkToFit="1"/>
    </xf>
    <xf numFmtId="49" fontId="3" fillId="2" borderId="1" xfId="0" applyFont="1" applyFill="1" applyBorder="1" applyAlignment="1">
      <alignment shrinkToFit="1"/>
    </xf>
    <xf numFmtId="0" fontId="3" fillId="0" borderId="1" xfId="0" applyNumberFormat="1" applyFont="1" applyFill="1" applyBorder="1" applyAlignment="1" applyProtection="1">
      <alignment shrinkToFit="1"/>
    </xf>
    <xf numFmtId="49" fontId="3" fillId="0" borderId="1" xfId="0" applyNumberFormat="1" applyFont="1" applyFill="1" applyBorder="1" applyAlignment="1" applyProtection="1">
      <alignment horizontal="right" shrinkToFit="1"/>
    </xf>
    <xf numFmtId="49" fontId="3" fillId="0" borderId="1" xfId="0" applyFont="1" applyBorder="1" applyAlignment="1">
      <alignment horizontal="center" shrinkToFit="1"/>
    </xf>
    <xf numFmtId="9" fontId="3" fillId="0" borderId="1" xfId="0" applyNumberFormat="1" applyFont="1" applyBorder="1" applyAlignment="1">
      <alignment horizontal="center" shrinkToFit="1"/>
    </xf>
    <xf numFmtId="0" fontId="3" fillId="0" borderId="1" xfId="0" applyNumberFormat="1" applyFont="1" applyFill="1" applyBorder="1" applyAlignment="1" applyProtection="1">
      <alignment horizontal="center" shrinkToFit="1"/>
    </xf>
    <xf numFmtId="9" fontId="3" fillId="0" borderId="1" xfId="0" applyNumberFormat="1" applyFont="1" applyFill="1" applyBorder="1" applyAlignment="1" applyProtection="1">
      <alignment horizontal="center" shrinkToFit="1"/>
    </xf>
    <xf numFmtId="49" fontId="12" fillId="2" borderId="0" xfId="0" applyFont="1" applyFill="1" applyAlignment="1">
      <alignment vertical="center"/>
    </xf>
    <xf numFmtId="49" fontId="179" fillId="11" borderId="4" xfId="0" applyFont="1" applyFill="1" applyBorder="1" applyAlignment="1">
      <alignment horizontal="center" vertical="center" wrapText="1"/>
    </xf>
    <xf numFmtId="49" fontId="179" fillId="11" borderId="1" xfId="0" applyFont="1" applyFill="1" applyBorder="1" applyAlignment="1">
      <alignment horizontal="center" vertical="center" wrapText="1"/>
    </xf>
    <xf numFmtId="165" fontId="179" fillId="11" borderId="1" xfId="0" applyNumberFormat="1" applyFont="1" applyFill="1" applyBorder="1" applyAlignment="1">
      <alignment horizontal="center" vertical="center" wrapText="1"/>
    </xf>
    <xf numFmtId="165" fontId="179" fillId="12" borderId="1" xfId="0" applyNumberFormat="1" applyFont="1" applyFill="1" applyBorder="1" applyAlignment="1">
      <alignment horizontal="center" vertical="center" wrapText="1"/>
    </xf>
    <xf numFmtId="49" fontId="179" fillId="12" borderId="1" xfId="0" applyFont="1" applyFill="1" applyBorder="1" applyAlignment="1">
      <alignment horizontal="center" vertical="center" wrapText="1"/>
    </xf>
    <xf numFmtId="1" fontId="179" fillId="12" borderId="1" xfId="0" applyNumberFormat="1" applyFont="1" applyFill="1" applyBorder="1" applyAlignment="1">
      <alignment horizontal="center" vertical="center" wrapText="1"/>
    </xf>
    <xf numFmtId="1" fontId="179" fillId="11" borderId="1" xfId="0" applyNumberFormat="1" applyFont="1" applyFill="1" applyBorder="1" applyAlignment="1">
      <alignment horizontal="center" vertical="center" wrapText="1"/>
    </xf>
    <xf numFmtId="49" fontId="179" fillId="5" borderId="1" xfId="0" applyFont="1" applyFill="1" applyBorder="1" applyAlignment="1">
      <alignment horizontal="center" vertical="center" wrapText="1"/>
    </xf>
    <xf numFmtId="49" fontId="180" fillId="0" borderId="0" xfId="0" applyFont="1" applyFill="1" applyAlignment="1">
      <alignment horizontal="center" vertical="center" wrapText="1"/>
    </xf>
    <xf numFmtId="49" fontId="150" fillId="6" borderId="1" xfId="0" applyFont="1" applyFill="1" applyBorder="1" applyAlignment="1">
      <alignment horizontal="center" vertical="center" wrapText="1" readingOrder="1"/>
    </xf>
    <xf numFmtId="49" fontId="150" fillId="7" borderId="4" xfId="0" applyFont="1" applyFill="1" applyBorder="1" applyAlignment="1">
      <alignment horizontal="center" vertical="center" wrapText="1" readingOrder="1"/>
    </xf>
    <xf numFmtId="49" fontId="150" fillId="7" borderId="1" xfId="0" applyFont="1" applyFill="1" applyBorder="1" applyAlignment="1">
      <alignment horizontal="center" vertical="center" wrapText="1" readingOrder="1"/>
    </xf>
    <xf numFmtId="1" fontId="49" fillId="17" borderId="1" xfId="0" applyNumberFormat="1" applyFont="1" applyFill="1" applyBorder="1" applyAlignment="1" applyProtection="1">
      <alignment horizontal="center" vertical="center" wrapText="1" readingOrder="1"/>
      <protection locked="0"/>
    </xf>
    <xf numFmtId="168" fontId="49" fillId="8" borderId="1" xfId="4" applyNumberFormat="1" applyFont="1" applyFill="1" applyBorder="1" applyAlignment="1" applyProtection="1">
      <alignment horizontal="center" vertical="center" wrapText="1" readingOrder="1"/>
      <protection locked="0"/>
    </xf>
    <xf numFmtId="49" fontId="152" fillId="0" borderId="0" xfId="0" applyFont="1"/>
    <xf numFmtId="49" fontId="151" fillId="0" borderId="0" xfId="0" applyFont="1" applyAlignment="1">
      <alignment horizontal="right" indent="2"/>
    </xf>
    <xf numFmtId="49" fontId="182" fillId="0" borderId="0" xfId="0" applyFont="1"/>
    <xf numFmtId="167" fontId="152" fillId="8" borderId="0" xfId="4" applyNumberFormat="1" applyFont="1" applyFill="1" applyAlignment="1">
      <alignment horizontal="right" indent="2"/>
    </xf>
    <xf numFmtId="49" fontId="152" fillId="0" borderId="0" xfId="0" applyFont="1" applyAlignment="1">
      <alignment wrapText="1"/>
    </xf>
    <xf numFmtId="49" fontId="152" fillId="0" borderId="0" xfId="0" applyFont="1" applyAlignment="1">
      <alignment vertical="center" wrapText="1"/>
    </xf>
    <xf numFmtId="49" fontId="21" fillId="0" borderId="0" xfId="0" applyFont="1" applyAlignment="1">
      <alignment vertical="center" wrapText="1"/>
    </xf>
    <xf numFmtId="1" fontId="152" fillId="8" borderId="0" xfId="0" applyNumberFormat="1" applyFont="1" applyFill="1" applyAlignment="1">
      <alignment horizontal="right" vertical="center" wrapText="1" indent="2"/>
    </xf>
    <xf numFmtId="49" fontId="181" fillId="0" borderId="0" xfId="0" applyFont="1"/>
    <xf numFmtId="167" fontId="3" fillId="0" borderId="0" xfId="0" applyNumberFormat="1" applyFont="1"/>
    <xf numFmtId="9" fontId="3" fillId="0" borderId="0" xfId="0" applyNumberFormat="1" applyFont="1"/>
    <xf numFmtId="49" fontId="3" fillId="0" borderId="0" xfId="0" applyFont="1" applyAlignment="1">
      <alignment horizontal="center" vertical="center"/>
    </xf>
    <xf numFmtId="49" fontId="65" fillId="0" borderId="0" xfId="0" applyFont="1"/>
    <xf numFmtId="49" fontId="27" fillId="0" borderId="0" xfId="0" applyFont="1"/>
    <xf numFmtId="49" fontId="14" fillId="0" borderId="0" xfId="0" applyFont="1" applyFill="1" applyBorder="1" applyAlignment="1"/>
    <xf numFmtId="49" fontId="14" fillId="0" borderId="0" xfId="0" applyFont="1" applyAlignment="1"/>
    <xf numFmtId="49" fontId="65" fillId="0" borderId="48" xfId="0" applyFont="1" applyBorder="1"/>
    <xf numFmtId="49" fontId="13" fillId="0" borderId="0" xfId="0" applyFont="1" applyAlignment="1">
      <alignment horizontal="left" vertical="center" readingOrder="1"/>
    </xf>
    <xf numFmtId="49" fontId="13" fillId="0" borderId="19" xfId="0" applyFont="1" applyFill="1" applyBorder="1"/>
    <xf numFmtId="49" fontId="13" fillId="0" borderId="20" xfId="0" applyFont="1" applyFill="1" applyBorder="1"/>
    <xf numFmtId="49" fontId="13" fillId="0" borderId="21" xfId="0" applyFont="1" applyFill="1" applyBorder="1"/>
    <xf numFmtId="49" fontId="13" fillId="0" borderId="19" xfId="0" applyFont="1" applyFill="1" applyBorder="1" applyAlignment="1">
      <alignment horizontal="center"/>
    </xf>
    <xf numFmtId="49" fontId="13" fillId="0" borderId="22" xfId="0" applyFont="1" applyFill="1" applyBorder="1" applyAlignment="1">
      <alignment horizontal="center"/>
    </xf>
    <xf numFmtId="49" fontId="13" fillId="0" borderId="23" xfId="0" applyFont="1" applyFill="1" applyBorder="1" applyAlignment="1">
      <alignment horizontal="center"/>
    </xf>
    <xf numFmtId="0" fontId="13" fillId="0" borderId="19" xfId="0" applyNumberFormat="1" applyFont="1" applyFill="1" applyBorder="1"/>
    <xf numFmtId="0" fontId="13" fillId="0" borderId="22" xfId="0" applyNumberFormat="1" applyFont="1" applyFill="1" applyBorder="1"/>
    <xf numFmtId="0" fontId="13" fillId="0" borderId="23" xfId="0" applyNumberFormat="1" applyFont="1" applyFill="1" applyBorder="1"/>
    <xf numFmtId="49" fontId="13" fillId="0" borderId="24" xfId="0" applyFont="1" applyFill="1" applyBorder="1"/>
    <xf numFmtId="0" fontId="13" fillId="0" borderId="24" xfId="0" applyNumberFormat="1" applyFont="1" applyFill="1" applyBorder="1"/>
    <xf numFmtId="0" fontId="13" fillId="0" borderId="0" xfId="0" applyNumberFormat="1" applyFont="1" applyFill="1"/>
    <xf numFmtId="0" fontId="13" fillId="0" borderId="25" xfId="0" applyNumberFormat="1" applyFont="1" applyFill="1" applyBorder="1"/>
    <xf numFmtId="49" fontId="13" fillId="0" borderId="26" xfId="0" applyFont="1" applyFill="1" applyBorder="1"/>
    <xf numFmtId="0" fontId="13" fillId="0" borderId="26" xfId="0" applyNumberFormat="1" applyFont="1" applyFill="1" applyBorder="1"/>
    <xf numFmtId="0" fontId="13" fillId="0" borderId="27" xfId="0" applyNumberFormat="1" applyFont="1" applyFill="1" applyBorder="1"/>
    <xf numFmtId="0" fontId="13" fillId="0" borderId="28" xfId="0" applyNumberFormat="1" applyFont="1" applyFill="1" applyBorder="1"/>
    <xf numFmtId="49" fontId="13" fillId="0" borderId="21" xfId="0" applyFont="1" applyBorder="1"/>
    <xf numFmtId="49" fontId="13" fillId="0" borderId="19" xfId="0" applyFont="1" applyBorder="1"/>
    <xf numFmtId="49" fontId="13" fillId="0" borderId="40" xfId="0" applyFont="1" applyBorder="1"/>
    <xf numFmtId="9" fontId="13" fillId="0" borderId="19" xfId="0" applyNumberFormat="1" applyFont="1" applyFill="1" applyBorder="1"/>
    <xf numFmtId="9" fontId="13" fillId="0" borderId="40" xfId="0" applyNumberFormat="1" applyFont="1" applyFill="1" applyBorder="1"/>
    <xf numFmtId="49" fontId="13" fillId="0" borderId="24" xfId="0" applyFont="1" applyBorder="1"/>
    <xf numFmtId="9" fontId="13" fillId="0" borderId="24" xfId="0" applyNumberFormat="1" applyFont="1" applyFill="1" applyBorder="1"/>
    <xf numFmtId="9" fontId="13" fillId="0" borderId="50" xfId="0" applyNumberFormat="1" applyFont="1" applyFill="1" applyBorder="1"/>
    <xf numFmtId="49" fontId="13" fillId="0" borderId="26" xfId="0" applyFont="1" applyBorder="1"/>
    <xf numFmtId="9" fontId="13" fillId="0" borderId="26" xfId="0" applyNumberFormat="1" applyFont="1" applyFill="1" applyBorder="1"/>
    <xf numFmtId="9" fontId="13" fillId="0" borderId="41" xfId="0" applyNumberFormat="1" applyFont="1" applyFill="1" applyBorder="1"/>
    <xf numFmtId="49" fontId="13" fillId="0" borderId="20" xfId="0" applyFont="1" applyBorder="1"/>
    <xf numFmtId="49" fontId="13" fillId="0" borderId="19" xfId="0" applyFont="1" applyBorder="1" applyAlignment="1">
      <alignment horizontal="center"/>
    </xf>
    <xf numFmtId="49" fontId="13" fillId="0" borderId="22" xfId="0" applyFont="1" applyBorder="1" applyAlignment="1">
      <alignment horizontal="center"/>
    </xf>
    <xf numFmtId="49" fontId="13" fillId="0" borderId="40" xfId="0" applyFont="1" applyBorder="1" applyAlignment="1">
      <alignment horizontal="center"/>
    </xf>
    <xf numFmtId="9" fontId="13" fillId="0" borderId="19" xfId="0" applyNumberFormat="1" applyFont="1" applyBorder="1"/>
    <xf numFmtId="9" fontId="13" fillId="0" borderId="22" xfId="0" applyNumberFormat="1" applyFont="1" applyBorder="1"/>
    <xf numFmtId="9" fontId="13" fillId="0" borderId="40" xfId="0" applyNumberFormat="1" applyFont="1" applyBorder="1"/>
    <xf numFmtId="9" fontId="13" fillId="0" borderId="24" xfId="0" applyNumberFormat="1" applyFont="1" applyBorder="1"/>
    <xf numFmtId="9" fontId="13" fillId="0" borderId="0" xfId="0" applyNumberFormat="1" applyFont="1"/>
    <xf numFmtId="9" fontId="13" fillId="0" borderId="50" xfId="0" applyNumberFormat="1" applyFont="1" applyBorder="1"/>
    <xf numFmtId="9" fontId="13" fillId="0" borderId="26" xfId="0" applyNumberFormat="1" applyFont="1" applyBorder="1"/>
    <xf numFmtId="9" fontId="13" fillId="0" borderId="27" xfId="0" applyNumberFormat="1" applyFont="1" applyBorder="1"/>
    <xf numFmtId="9" fontId="13" fillId="0" borderId="41" xfId="0" applyNumberFormat="1" applyFont="1" applyBorder="1"/>
    <xf numFmtId="49" fontId="3" fillId="5" borderId="1" xfId="0" applyFont="1" applyFill="1" applyBorder="1" applyAlignment="1">
      <alignment horizontal="center" shrinkToFit="1"/>
    </xf>
    <xf numFmtId="0" fontId="23" fillId="0" borderId="0" xfId="0" applyNumberFormat="1" applyFont="1" applyAlignment="1">
      <alignment vertical="center"/>
    </xf>
    <xf numFmtId="168" fontId="37" fillId="16" borderId="7" xfId="4" applyNumberFormat="1" applyFont="1" applyFill="1" applyBorder="1" applyAlignment="1" applyProtection="1">
      <alignment horizontal="center" vertical="center" wrapText="1" readingOrder="1"/>
      <protection locked="0"/>
    </xf>
    <xf numFmtId="2" fontId="23" fillId="0" borderId="0" xfId="0" applyNumberFormat="1" applyFont="1"/>
    <xf numFmtId="1" fontId="37" fillId="0" borderId="6" xfId="0" applyNumberFormat="1" applyFont="1" applyBorder="1" applyAlignment="1" applyProtection="1">
      <alignment horizontal="center" vertical="center" wrapText="1" readingOrder="1"/>
      <protection locked="0"/>
    </xf>
    <xf numFmtId="1" fontId="37" fillId="0" borderId="7" xfId="0" applyNumberFormat="1" applyFont="1" applyBorder="1" applyAlignment="1" applyProtection="1">
      <alignment horizontal="center" vertical="center" wrapText="1" readingOrder="1"/>
      <protection locked="0"/>
    </xf>
    <xf numFmtId="0" fontId="96" fillId="13" borderId="0" xfId="0" applyNumberFormat="1" applyFont="1" applyFill="1" applyAlignment="1">
      <alignment horizontal="center" vertical="center" readingOrder="1"/>
    </xf>
    <xf numFmtId="49" fontId="0" fillId="0" borderId="19" xfId="0" pivotButton="1" applyFont="1" applyBorder="1"/>
    <xf numFmtId="49" fontId="0" fillId="0" borderId="20" xfId="0" applyFont="1" applyBorder="1"/>
    <xf numFmtId="49" fontId="0" fillId="0" borderId="21" xfId="0" applyFont="1" applyBorder="1"/>
    <xf numFmtId="49" fontId="0" fillId="0" borderId="19" xfId="0" applyFont="1" applyBorder="1"/>
    <xf numFmtId="49" fontId="0" fillId="0" borderId="22" xfId="0" applyFont="1" applyBorder="1"/>
    <xf numFmtId="9" fontId="0" fillId="0" borderId="19" xfId="0" applyNumberFormat="1" applyFont="1" applyBorder="1"/>
    <xf numFmtId="9" fontId="0" fillId="0" borderId="22" xfId="0" applyNumberFormat="1" applyFont="1" applyBorder="1"/>
    <xf numFmtId="49" fontId="0" fillId="0" borderId="24" xfId="0" applyFont="1" applyBorder="1"/>
    <xf numFmtId="49" fontId="0" fillId="0" borderId="26" xfId="0" applyFont="1" applyBorder="1"/>
    <xf numFmtId="9" fontId="0" fillId="0" borderId="26" xfId="0" applyNumberFormat="1" applyFont="1" applyBorder="1"/>
    <xf numFmtId="9" fontId="0" fillId="0" borderId="27" xfId="0" applyNumberFormat="1" applyFont="1" applyBorder="1"/>
    <xf numFmtId="9" fontId="0" fillId="0" borderId="19" xfId="0" applyNumberFormat="1" applyFont="1" applyFill="1" applyBorder="1"/>
    <xf numFmtId="9" fontId="0" fillId="0" borderId="24" xfId="0" applyNumberFormat="1" applyFont="1" applyFill="1" applyBorder="1"/>
    <xf numFmtId="9" fontId="0" fillId="0" borderId="26" xfId="0" applyNumberFormat="1" applyFont="1" applyFill="1" applyBorder="1"/>
    <xf numFmtId="49" fontId="167" fillId="2" borderId="0" xfId="0" applyFont="1" applyFill="1" applyBorder="1"/>
    <xf numFmtId="49" fontId="0" fillId="0" borderId="23" xfId="0" applyFont="1" applyBorder="1"/>
    <xf numFmtId="9" fontId="0" fillId="0" borderId="23" xfId="0" applyNumberFormat="1" applyFont="1" applyBorder="1"/>
    <xf numFmtId="9" fontId="0" fillId="0" borderId="25" xfId="0" applyNumberFormat="1" applyFont="1" applyBorder="1"/>
    <xf numFmtId="9" fontId="0" fillId="0" borderId="28" xfId="0" applyNumberFormat="1" applyFont="1" applyBorder="1"/>
    <xf numFmtId="49" fontId="0" fillId="9" borderId="28" xfId="0" applyFont="1" applyFill="1" applyBorder="1"/>
    <xf numFmtId="49" fontId="0" fillId="9" borderId="19" xfId="0" applyFont="1" applyFill="1" applyBorder="1"/>
    <xf numFmtId="49" fontId="0" fillId="9" borderId="20" xfId="0" applyFont="1" applyFill="1" applyBorder="1"/>
    <xf numFmtId="49" fontId="0" fillId="9" borderId="21" xfId="0" applyFont="1" applyFill="1" applyBorder="1"/>
    <xf numFmtId="49" fontId="0" fillId="9" borderId="22" xfId="0" applyFont="1" applyFill="1" applyBorder="1"/>
    <xf numFmtId="49" fontId="0" fillId="9" borderId="23" xfId="0" applyFont="1" applyFill="1" applyBorder="1"/>
    <xf numFmtId="49" fontId="0" fillId="9" borderId="26" xfId="0" applyFont="1" applyFill="1" applyBorder="1"/>
    <xf numFmtId="0" fontId="0" fillId="9" borderId="26" xfId="0" applyNumberFormat="1" applyFont="1" applyFill="1" applyBorder="1"/>
    <xf numFmtId="49" fontId="0" fillId="2" borderId="19" xfId="0" applyFont="1" applyFill="1" applyBorder="1"/>
    <xf numFmtId="49" fontId="0" fillId="2" borderId="20" xfId="0" applyFont="1" applyFill="1" applyBorder="1"/>
    <xf numFmtId="49" fontId="0" fillId="2" borderId="21" xfId="0" applyFont="1" applyFill="1" applyBorder="1"/>
    <xf numFmtId="49" fontId="0" fillId="2" borderId="23" xfId="0" applyFont="1" applyFill="1" applyBorder="1"/>
    <xf numFmtId="0" fontId="0" fillId="2" borderId="19" xfId="0" applyNumberFormat="1" applyFont="1" applyFill="1" applyBorder="1"/>
    <xf numFmtId="0" fontId="0" fillId="2" borderId="23" xfId="0" applyNumberFormat="1" applyFont="1" applyFill="1" applyBorder="1"/>
    <xf numFmtId="49" fontId="0" fillId="2" borderId="24" xfId="0" applyFont="1" applyFill="1" applyBorder="1"/>
    <xf numFmtId="0" fontId="0" fillId="2" borderId="24" xfId="0" applyNumberFormat="1" applyFont="1" applyFill="1" applyBorder="1"/>
    <xf numFmtId="0" fontId="0" fillId="2" borderId="25" xfId="0" applyNumberFormat="1" applyFont="1" applyFill="1" applyBorder="1"/>
    <xf numFmtId="49" fontId="0" fillId="2" borderId="26" xfId="0" applyFont="1" applyFill="1" applyBorder="1"/>
    <xf numFmtId="0" fontId="0" fillId="2" borderId="26" xfId="0" applyNumberFormat="1" applyFont="1" applyFill="1" applyBorder="1"/>
    <xf numFmtId="0" fontId="0" fillId="2" borderId="28" xfId="0" applyNumberFormat="1" applyFont="1" applyFill="1" applyBorder="1"/>
    <xf numFmtId="49" fontId="0" fillId="9" borderId="79" xfId="0" applyFont="1" applyFill="1" applyBorder="1"/>
    <xf numFmtId="49" fontId="0" fillId="9" borderId="81" xfId="0" applyFont="1" applyFill="1" applyBorder="1"/>
    <xf numFmtId="10" fontId="0" fillId="9" borderId="27" xfId="0" applyNumberFormat="1" applyFont="1" applyFill="1" applyBorder="1"/>
    <xf numFmtId="10" fontId="0" fillId="9" borderId="26" xfId="0" applyNumberFormat="1" applyFont="1" applyFill="1" applyBorder="1"/>
    <xf numFmtId="10" fontId="0" fillId="9" borderId="28" xfId="0" applyNumberFormat="1" applyFont="1" applyFill="1" applyBorder="1"/>
    <xf numFmtId="9" fontId="0" fillId="2" borderId="19" xfId="0" applyNumberFormat="1" applyFont="1" applyFill="1" applyBorder="1"/>
    <xf numFmtId="9" fontId="0" fillId="2" borderId="22" xfId="0" applyNumberFormat="1" applyFont="1" applyFill="1" applyBorder="1"/>
    <xf numFmtId="9" fontId="0" fillId="2" borderId="23" xfId="0" applyNumberFormat="1" applyFont="1" applyFill="1" applyBorder="1"/>
    <xf numFmtId="9" fontId="0" fillId="2" borderId="26" xfId="0" applyNumberFormat="1" applyFont="1" applyFill="1" applyBorder="1"/>
    <xf numFmtId="9" fontId="0" fillId="2" borderId="27" xfId="0" applyNumberFormat="1" applyFont="1" applyFill="1" applyBorder="1"/>
    <xf numFmtId="9" fontId="0" fillId="2" borderId="28" xfId="0" applyNumberFormat="1" applyFont="1" applyFill="1" applyBorder="1"/>
    <xf numFmtId="49" fontId="187" fillId="0" borderId="0" xfId="0" applyFont="1" applyAlignment="1">
      <alignment vertical="top"/>
    </xf>
    <xf numFmtId="49" fontId="107" fillId="0" borderId="0" xfId="0" applyFont="1" applyAlignment="1">
      <alignment horizontal="left" vertical="center" wrapText="1"/>
    </xf>
    <xf numFmtId="49" fontId="46" fillId="0" borderId="0" xfId="0" applyFont="1" applyAlignment="1">
      <alignment horizontal="left" vertical="top"/>
    </xf>
    <xf numFmtId="49" fontId="70" fillId="0" borderId="0" xfId="0" applyFont="1" applyBorder="1"/>
    <xf numFmtId="0" fontId="22" fillId="0" borderId="0" xfId="6" applyBorder="1" applyAlignment="1">
      <alignment vertical="center" wrapText="1"/>
    </xf>
    <xf numFmtId="169" fontId="48" fillId="5" borderId="1" xfId="5" applyNumberFormat="1" applyFont="1" applyFill="1" applyBorder="1" applyAlignment="1" applyProtection="1">
      <alignment shrinkToFit="1"/>
    </xf>
    <xf numFmtId="49" fontId="3" fillId="5" borderId="1" xfId="0" applyFont="1" applyFill="1" applyBorder="1" applyAlignment="1" applyProtection="1">
      <alignment horizontal="center" shrinkToFit="1"/>
    </xf>
    <xf numFmtId="49" fontId="3" fillId="5" borderId="1" xfId="0" applyFont="1" applyFill="1" applyBorder="1" applyAlignment="1" applyProtection="1">
      <alignment horizontal="left" shrinkToFit="1"/>
    </xf>
    <xf numFmtId="1" fontId="37" fillId="13" borderId="6" xfId="0" applyNumberFormat="1" applyFont="1" applyFill="1" applyBorder="1" applyAlignment="1" applyProtection="1">
      <alignment horizontal="center" vertical="center" wrapText="1" readingOrder="1"/>
      <protection locked="0"/>
    </xf>
    <xf numFmtId="168" fontId="37" fillId="13" borderId="7" xfId="4" applyNumberFormat="1" applyFont="1" applyFill="1" applyBorder="1" applyAlignment="1" applyProtection="1">
      <alignment horizontal="center" vertical="center" wrapText="1" readingOrder="1"/>
      <protection locked="0"/>
    </xf>
    <xf numFmtId="0" fontId="3" fillId="5" borderId="1" xfId="0" applyNumberFormat="1" applyFont="1" applyFill="1" applyBorder="1" applyAlignment="1" applyProtection="1">
      <alignment horizontal="center" shrinkToFit="1"/>
    </xf>
    <xf numFmtId="0" fontId="179" fillId="0" borderId="0" xfId="0" applyNumberFormat="1" applyFont="1" applyFill="1" applyAlignment="1">
      <alignment horizontal="center" vertical="center" wrapText="1"/>
    </xf>
    <xf numFmtId="0" fontId="179" fillId="5" borderId="0" xfId="0" applyNumberFormat="1" applyFont="1" applyFill="1" applyAlignment="1">
      <alignment horizontal="center" vertical="center" wrapText="1"/>
    </xf>
    <xf numFmtId="0" fontId="0" fillId="5" borderId="0" xfId="0" applyNumberFormat="1" applyFont="1" applyFill="1" applyAlignment="1">
      <alignment shrinkToFit="1"/>
    </xf>
    <xf numFmtId="49" fontId="46" fillId="0" borderId="0" xfId="0" applyFont="1" applyAlignment="1">
      <alignment horizontal="left" vertical="top"/>
    </xf>
    <xf numFmtId="49" fontId="107" fillId="0" borderId="0" xfId="0" applyFont="1" applyAlignment="1">
      <alignment horizontal="left" vertical="center" wrapText="1"/>
    </xf>
    <xf numFmtId="49" fontId="22" fillId="0" borderId="1" xfId="0" applyFont="1" applyBorder="1"/>
    <xf numFmtId="49" fontId="22" fillId="0" borderId="1" xfId="0" pivotButton="1" applyFont="1" applyBorder="1"/>
    <xf numFmtId="49" fontId="22" fillId="24" borderId="1" xfId="0" applyFont="1" applyFill="1" applyBorder="1" applyAlignment="1">
      <alignment horizontal="center"/>
    </xf>
    <xf numFmtId="3" fontId="22" fillId="0" borderId="1" xfId="0" applyNumberFormat="1" applyFont="1" applyFill="1" applyBorder="1"/>
    <xf numFmtId="170" fontId="163" fillId="0" borderId="0" xfId="5" applyNumberFormat="1" applyFont="1" applyBorder="1" applyAlignment="1">
      <alignment horizontal="center" readingOrder="1"/>
    </xf>
    <xf numFmtId="49" fontId="3" fillId="0" borderId="5" xfId="0" applyFont="1" applyBorder="1"/>
    <xf numFmtId="49" fontId="22" fillId="24" borderId="1" xfId="0" applyFont="1" applyFill="1" applyBorder="1" applyAlignment="1">
      <alignment vertical="center"/>
    </xf>
    <xf numFmtId="1" fontId="0" fillId="16" borderId="6" xfId="0" applyNumberFormat="1" applyFont="1" applyFill="1" applyBorder="1" applyAlignment="1" applyProtection="1">
      <alignment horizontal="center" vertical="center" wrapText="1" readingOrder="1"/>
      <protection locked="0"/>
    </xf>
    <xf numFmtId="0" fontId="0" fillId="0" borderId="0" xfId="0" applyNumberFormat="1" applyFont="1" applyAlignment="1">
      <alignment vertical="center"/>
    </xf>
    <xf numFmtId="1" fontId="0" fillId="13" borderId="6" xfId="0" applyNumberFormat="1" applyFont="1" applyFill="1" applyBorder="1" applyAlignment="1" applyProtection="1">
      <alignment horizontal="center" vertical="center" wrapText="1" readingOrder="1"/>
      <protection locked="0"/>
    </xf>
    <xf numFmtId="1" fontId="0" fillId="2" borderId="0" xfId="0" applyNumberFormat="1" applyFont="1" applyFill="1"/>
    <xf numFmtId="49" fontId="0" fillId="0" borderId="1" xfId="0" applyFont="1" applyBorder="1" applyAlignment="1">
      <alignment horizontal="center" vertical="center" shrinkToFit="1"/>
    </xf>
    <xf numFmtId="49" fontId="0" fillId="2" borderId="1" xfId="0" applyFont="1" applyFill="1" applyBorder="1" applyAlignment="1">
      <alignment shrinkToFit="1"/>
    </xf>
    <xf numFmtId="0" fontId="0" fillId="5" borderId="1" xfId="0" applyNumberFormat="1" applyFont="1" applyFill="1" applyBorder="1" applyAlignment="1">
      <alignment horizontal="center" shrinkToFit="1"/>
    </xf>
    <xf numFmtId="0" fontId="0" fillId="5" borderId="1" xfId="0" applyNumberFormat="1" applyFont="1" applyFill="1" applyBorder="1" applyAlignment="1" applyProtection="1">
      <alignment horizontal="center" shrinkToFit="1"/>
    </xf>
    <xf numFmtId="0" fontId="0" fillId="5" borderId="1" xfId="0" applyNumberFormat="1" applyFont="1" applyFill="1" applyBorder="1" applyAlignment="1" applyProtection="1">
      <alignment horizontal="left" shrinkToFit="1"/>
    </xf>
    <xf numFmtId="169" fontId="48" fillId="5" borderId="3" xfId="5" applyNumberFormat="1" applyFont="1" applyFill="1" applyBorder="1" applyAlignment="1" applyProtection="1">
      <alignment shrinkToFit="1"/>
    </xf>
    <xf numFmtId="14" fontId="0" fillId="0" borderId="0" xfId="0" applyNumberFormat="1"/>
    <xf numFmtId="14" fontId="0" fillId="0" borderId="0" xfId="5" applyNumberFormat="1" applyFont="1"/>
    <xf numFmtId="49" fontId="22" fillId="0" borderId="1" xfId="0" applyNumberFormat="1" applyFont="1" applyFill="1" applyBorder="1"/>
    <xf numFmtId="169" fontId="0" fillId="0" borderId="6" xfId="5" applyNumberFormat="1" applyFont="1" applyBorder="1" applyAlignment="1">
      <alignment shrinkToFit="1"/>
    </xf>
    <xf numFmtId="171" fontId="0" fillId="0" borderId="7" xfId="5" applyNumberFormat="1" applyFont="1" applyBorder="1" applyAlignment="1">
      <alignment shrinkToFit="1"/>
    </xf>
    <xf numFmtId="171" fontId="0" fillId="0" borderId="1" xfId="5" applyNumberFormat="1" applyFont="1" applyBorder="1" applyAlignment="1">
      <alignment shrinkToFit="1"/>
    </xf>
    <xf numFmtId="170" fontId="163" fillId="0" borderId="1" xfId="5" applyNumberFormat="1" applyFont="1" applyBorder="1" applyAlignment="1">
      <alignment horizontal="center" readingOrder="1"/>
    </xf>
    <xf numFmtId="168" fontId="163" fillId="0" borderId="1" xfId="0" applyNumberFormat="1" applyFont="1" applyFill="1" applyBorder="1" applyAlignment="1">
      <alignment horizontal="center" wrapText="1"/>
    </xf>
    <xf numFmtId="168" fontId="163" fillId="0" borderId="0" xfId="0" applyNumberFormat="1" applyFont="1" applyFill="1" applyBorder="1" applyAlignment="1">
      <alignment horizontal="center" wrapText="1"/>
    </xf>
    <xf numFmtId="168" fontId="163" fillId="0" borderId="0" xfId="0" applyNumberFormat="1" applyFont="1" applyFill="1" applyBorder="1" applyAlignment="1" applyProtection="1">
      <alignment horizontal="right" wrapText="1" indent="2" readingOrder="1"/>
      <protection locked="0"/>
    </xf>
    <xf numFmtId="0" fontId="189" fillId="0" borderId="0" xfId="0" applyNumberFormat="1" applyFont="1" applyAlignment="1">
      <alignment horizontal="center"/>
    </xf>
    <xf numFmtId="49" fontId="70" fillId="0" borderId="0" xfId="0" applyFont="1"/>
    <xf numFmtId="0" fontId="190" fillId="0" borderId="0" xfId="0" applyNumberFormat="1" applyFont="1" applyAlignment="1">
      <alignment horizontal="center"/>
    </xf>
    <xf numFmtId="49" fontId="84" fillId="0" borderId="1" xfId="0" pivotButton="1" applyFont="1" applyBorder="1"/>
    <xf numFmtId="170" fontId="163" fillId="0" borderId="6" xfId="5" applyNumberFormat="1" applyFont="1" applyBorder="1" applyAlignment="1">
      <alignment horizontal="center" readingOrder="1"/>
    </xf>
    <xf numFmtId="168" fontId="163" fillId="0" borderId="6" xfId="0" applyNumberFormat="1" applyFont="1" applyFill="1" applyBorder="1" applyAlignment="1">
      <alignment horizontal="center" wrapText="1"/>
    </xf>
    <xf numFmtId="49" fontId="140" fillId="24" borderId="1" xfId="0" applyFont="1" applyFill="1" applyBorder="1" applyAlignment="1">
      <alignment horizontal="center" vertical="center" wrapText="1" readingOrder="1"/>
    </xf>
    <xf numFmtId="49" fontId="140" fillId="24" borderId="6" xfId="0" applyFont="1" applyFill="1" applyBorder="1" applyAlignment="1">
      <alignment horizontal="center" vertical="center" wrapText="1" readingOrder="1"/>
    </xf>
    <xf numFmtId="172" fontId="153" fillId="6" borderId="4" xfId="0" applyNumberFormat="1" applyFont="1" applyFill="1" applyBorder="1" applyAlignment="1">
      <alignment horizontal="center" vertical="center" wrapText="1" readingOrder="1"/>
    </xf>
    <xf numFmtId="0" fontId="3" fillId="2" borderId="0" xfId="0" applyNumberFormat="1" applyFont="1" applyFill="1"/>
    <xf numFmtId="49" fontId="3" fillId="2" borderId="0" xfId="0" applyNumberFormat="1" applyFont="1" applyFill="1"/>
    <xf numFmtId="9" fontId="22" fillId="17" borderId="1" xfId="0" applyNumberFormat="1" applyFont="1" applyFill="1" applyBorder="1" applyAlignment="1"/>
    <xf numFmtId="168" fontId="107" fillId="2" borderId="1" xfId="0" applyNumberFormat="1" applyFont="1" applyFill="1" applyBorder="1" applyAlignment="1" applyProtection="1">
      <alignment horizontal="right" wrapText="1" indent="2" readingOrder="1"/>
      <protection locked="0"/>
    </xf>
    <xf numFmtId="1" fontId="107" fillId="9" borderId="1" xfId="0" applyNumberFormat="1" applyFont="1" applyFill="1" applyBorder="1" applyAlignment="1" applyProtection="1">
      <alignment horizontal="center" wrapText="1" readingOrder="1"/>
      <protection locked="0"/>
    </xf>
    <xf numFmtId="0" fontId="107" fillId="0" borderId="1" xfId="0" applyNumberFormat="1" applyFont="1" applyBorder="1" applyAlignment="1">
      <alignment horizontal="center" wrapText="1" readingOrder="1"/>
    </xf>
    <xf numFmtId="10" fontId="107" fillId="0" borderId="1" xfId="0" applyNumberFormat="1" applyFont="1" applyBorder="1" applyAlignment="1">
      <alignment horizontal="right" wrapText="1" indent="2"/>
    </xf>
    <xf numFmtId="168" fontId="166" fillId="0" borderId="1" xfId="0" applyNumberFormat="1" applyFont="1" applyBorder="1" applyAlignment="1" applyProtection="1">
      <alignment horizontal="right" vertical="center" wrapText="1" readingOrder="1"/>
      <protection locked="0"/>
    </xf>
    <xf numFmtId="168" fontId="166" fillId="2" borderId="1" xfId="0" applyNumberFormat="1" applyFont="1" applyFill="1" applyBorder="1" applyAlignment="1" applyProtection="1">
      <alignment horizontal="right" vertical="center" wrapText="1" readingOrder="1"/>
      <protection locked="0"/>
    </xf>
    <xf numFmtId="49" fontId="71" fillId="2" borderId="1" xfId="0" applyFont="1" applyFill="1" applyBorder="1" applyAlignment="1">
      <alignment horizontal="center" vertical="center" wrapText="1" readingOrder="1"/>
    </xf>
    <xf numFmtId="10" fontId="25" fillId="8" borderId="1" xfId="0" applyNumberFormat="1" applyFont="1" applyFill="1" applyBorder="1" applyAlignment="1">
      <alignment horizontal="right" vertical="center" wrapText="1" indent="2"/>
    </xf>
    <xf numFmtId="49" fontId="0" fillId="0" borderId="1" xfId="0" applyBorder="1" applyAlignment="1">
      <alignment horizontal="left"/>
    </xf>
    <xf numFmtId="9" fontId="167" fillId="17" borderId="1" xfId="0" applyNumberFormat="1" applyFont="1" applyFill="1" applyBorder="1" applyAlignment="1">
      <alignment vertical="center"/>
    </xf>
    <xf numFmtId="168" fontId="163" fillId="2" borderId="1" xfId="0" applyNumberFormat="1" applyFont="1" applyFill="1" applyBorder="1" applyAlignment="1" applyProtection="1">
      <alignment horizontal="right" vertical="center" wrapText="1" readingOrder="1"/>
      <protection locked="0"/>
    </xf>
    <xf numFmtId="0" fontId="163" fillId="0" borderId="1" xfId="0" applyNumberFormat="1" applyFont="1" applyBorder="1" applyAlignment="1">
      <alignment horizontal="center" vertical="center" wrapText="1" readingOrder="1"/>
    </xf>
    <xf numFmtId="10" fontId="163" fillId="0" borderId="1" xfId="0" applyNumberFormat="1" applyFont="1" applyBorder="1" applyAlignment="1">
      <alignment horizontal="right" vertical="center" wrapText="1"/>
    </xf>
    <xf numFmtId="168" fontId="61" fillId="0" borderId="1" xfId="0" applyNumberFormat="1" applyFont="1" applyBorder="1" applyAlignment="1" applyProtection="1">
      <alignment horizontal="right" vertical="center" wrapText="1" readingOrder="1"/>
      <protection locked="0"/>
    </xf>
    <xf numFmtId="49" fontId="164" fillId="2" borderId="1" xfId="0" applyNumberFormat="1" applyFont="1" applyFill="1" applyBorder="1" applyAlignment="1">
      <alignment horizontal="center" vertical="center" wrapText="1" readingOrder="1"/>
    </xf>
    <xf numFmtId="10" fontId="162" fillId="8" borderId="1" xfId="0" applyNumberFormat="1" applyFont="1" applyFill="1" applyBorder="1" applyAlignment="1">
      <alignment horizontal="right" vertical="center" wrapText="1"/>
    </xf>
    <xf numFmtId="0" fontId="63" fillId="15" borderId="44" xfId="0" applyNumberFormat="1" applyFont="1" applyFill="1" applyBorder="1" applyAlignment="1">
      <alignment horizontal="right" vertical="center" wrapText="1" indent="5" readingOrder="1"/>
    </xf>
    <xf numFmtId="0" fontId="63" fillId="15" borderId="44" xfId="5" applyNumberFormat="1" applyFont="1" applyFill="1" applyBorder="1" applyAlignment="1">
      <alignment horizontal="right" vertical="center" wrapText="1" indent="5" readingOrder="1"/>
    </xf>
    <xf numFmtId="49" fontId="15" fillId="10" borderId="0" xfId="0" applyFont="1" applyFill="1"/>
    <xf numFmtId="49" fontId="191" fillId="0" borderId="0" xfId="0" applyFont="1" applyFill="1"/>
    <xf numFmtId="49" fontId="191" fillId="0" borderId="0" xfId="0" applyFont="1"/>
    <xf numFmtId="49" fontId="192" fillId="0" borderId="0" xfId="0" applyFont="1"/>
    <xf numFmtId="49" fontId="193" fillId="2" borderId="0" xfId="0" applyFont="1" applyFill="1" applyBorder="1" applyAlignment="1"/>
    <xf numFmtId="49" fontId="15" fillId="2" borderId="0" xfId="0" applyFont="1" applyFill="1" applyAlignment="1"/>
    <xf numFmtId="49" fontId="194" fillId="0" borderId="0" xfId="0" applyFont="1"/>
    <xf numFmtId="49" fontId="15" fillId="0" borderId="0" xfId="0" applyFont="1" applyFill="1"/>
    <xf numFmtId="49" fontId="15" fillId="0" borderId="19" xfId="0" pivotButton="1" applyFont="1" applyBorder="1"/>
    <xf numFmtId="49" fontId="15" fillId="0" borderId="21" xfId="0" applyFont="1" applyBorder="1"/>
    <xf numFmtId="49" fontId="15" fillId="0" borderId="19" xfId="0" applyFont="1" applyBorder="1"/>
    <xf numFmtId="49" fontId="15" fillId="0" borderId="40" xfId="0" applyFont="1" applyBorder="1"/>
    <xf numFmtId="0" fontId="15" fillId="0" borderId="0" xfId="0" applyNumberFormat="1" applyFont="1" applyFill="1"/>
    <xf numFmtId="9" fontId="15" fillId="0" borderId="19" xfId="0" applyNumberFormat="1" applyFont="1" applyFill="1" applyBorder="1"/>
    <xf numFmtId="9" fontId="15" fillId="0" borderId="40" xfId="0" applyNumberFormat="1" applyFont="1" applyFill="1" applyBorder="1"/>
    <xf numFmtId="9" fontId="15" fillId="0" borderId="19" xfId="0" applyNumberFormat="1" applyFont="1" applyBorder="1"/>
    <xf numFmtId="9" fontId="15" fillId="0" borderId="40" xfId="0" applyNumberFormat="1" applyFont="1" applyBorder="1"/>
    <xf numFmtId="49" fontId="15" fillId="0" borderId="24" xfId="0" applyFont="1" applyBorder="1"/>
    <xf numFmtId="9" fontId="15" fillId="0" borderId="24" xfId="0" applyNumberFormat="1" applyFont="1" applyFill="1" applyBorder="1"/>
    <xf numFmtId="9" fontId="15" fillId="0" borderId="50" xfId="0" applyNumberFormat="1" applyFont="1" applyFill="1" applyBorder="1"/>
    <xf numFmtId="9" fontId="15" fillId="0" borderId="24" xfId="0" applyNumberFormat="1" applyFont="1" applyBorder="1"/>
    <xf numFmtId="9" fontId="15" fillId="0" borderId="50" xfId="0" applyNumberFormat="1" applyFont="1" applyBorder="1"/>
    <xf numFmtId="49" fontId="15" fillId="0" borderId="26" xfId="0" applyFont="1" applyBorder="1"/>
    <xf numFmtId="9" fontId="15" fillId="0" borderId="26" xfId="0" applyNumberFormat="1" applyFont="1" applyFill="1" applyBorder="1"/>
    <xf numFmtId="9" fontId="15" fillId="0" borderId="41" xfId="0" applyNumberFormat="1" applyFont="1" applyFill="1" applyBorder="1"/>
    <xf numFmtId="9" fontId="15" fillId="0" borderId="26" xfId="0" applyNumberFormat="1" applyFont="1" applyBorder="1"/>
    <xf numFmtId="9" fontId="15" fillId="0" borderId="41" xfId="0" applyNumberFormat="1" applyFont="1" applyBorder="1"/>
    <xf numFmtId="49" fontId="191" fillId="2" borderId="0" xfId="0" applyFont="1" applyFill="1"/>
    <xf numFmtId="49" fontId="15" fillId="0" borderId="20" xfId="0" applyFont="1" applyBorder="1"/>
    <xf numFmtId="49" fontId="15" fillId="0" borderId="22" xfId="0" applyFont="1" applyBorder="1"/>
    <xf numFmtId="49" fontId="15" fillId="0" borderId="23" xfId="0" applyFont="1" applyBorder="1"/>
    <xf numFmtId="1" fontId="15" fillId="0" borderId="19" xfId="0" applyNumberFormat="1" applyFont="1" applyBorder="1"/>
    <xf numFmtId="1" fontId="15" fillId="0" borderId="22" xfId="0" applyNumberFormat="1" applyFont="1" applyBorder="1"/>
    <xf numFmtId="1" fontId="15" fillId="0" borderId="23" xfId="0" applyNumberFormat="1" applyFont="1" applyBorder="1"/>
    <xf numFmtId="9" fontId="15" fillId="0" borderId="22" xfId="0" applyNumberFormat="1" applyFont="1" applyBorder="1"/>
    <xf numFmtId="1" fontId="15" fillId="0" borderId="24" xfId="0" applyNumberFormat="1" applyFont="1" applyBorder="1"/>
    <xf numFmtId="1" fontId="15" fillId="0" borderId="0" xfId="0" applyNumberFormat="1" applyFont="1"/>
    <xf numFmtId="1" fontId="15" fillId="0" borderId="25" xfId="0" applyNumberFormat="1" applyFont="1" applyBorder="1"/>
    <xf numFmtId="9" fontId="15" fillId="0" borderId="0" xfId="0" applyNumberFormat="1" applyFont="1"/>
    <xf numFmtId="9" fontId="15" fillId="0" borderId="27" xfId="0" applyNumberFormat="1" applyFont="1" applyBorder="1"/>
    <xf numFmtId="1" fontId="15" fillId="0" borderId="26" xfId="0" applyNumberFormat="1" applyFont="1" applyBorder="1"/>
    <xf numFmtId="1" fontId="15" fillId="0" borderId="27" xfId="0" applyNumberFormat="1" applyFont="1" applyBorder="1"/>
    <xf numFmtId="1" fontId="15" fillId="0" borderId="28" xfId="0" applyNumberFormat="1" applyFont="1" applyBorder="1"/>
    <xf numFmtId="9" fontId="15" fillId="0" borderId="23" xfId="0" applyNumberFormat="1" applyFont="1" applyBorder="1"/>
    <xf numFmtId="9" fontId="15" fillId="0" borderId="25" xfId="0" applyNumberFormat="1" applyFont="1" applyBorder="1"/>
    <xf numFmtId="9" fontId="15" fillId="0" borderId="28" xfId="0" applyNumberFormat="1" applyFont="1" applyBorder="1"/>
    <xf numFmtId="49" fontId="11" fillId="0" borderId="0" xfId="0" applyFont="1" applyFill="1"/>
    <xf numFmtId="49" fontId="195" fillId="0" borderId="0" xfId="0" applyFont="1" applyFill="1"/>
    <xf numFmtId="49" fontId="192" fillId="0" borderId="0" xfId="0" applyFont="1" applyFill="1"/>
    <xf numFmtId="49" fontId="196" fillId="0" borderId="0" xfId="0" applyFont="1" applyFill="1"/>
    <xf numFmtId="49" fontId="197" fillId="2" borderId="0" xfId="0" applyFont="1" applyFill="1"/>
    <xf numFmtId="49" fontId="191" fillId="9" borderId="0" xfId="0" applyFont="1" applyFill="1"/>
    <xf numFmtId="49" fontId="15" fillId="9" borderId="19" xfId="0" applyFont="1" applyFill="1" applyBorder="1"/>
    <xf numFmtId="49" fontId="15" fillId="9" borderId="20" xfId="0" applyFont="1" applyFill="1" applyBorder="1"/>
    <xf numFmtId="49" fontId="15" fillId="9" borderId="21" xfId="0" applyFont="1" applyFill="1" applyBorder="1"/>
    <xf numFmtId="49" fontId="15" fillId="9" borderId="22" xfId="0" applyFont="1" applyFill="1" applyBorder="1"/>
    <xf numFmtId="49" fontId="15" fillId="9" borderId="23" xfId="0" applyFont="1" applyFill="1" applyBorder="1"/>
    <xf numFmtId="0" fontId="15" fillId="9" borderId="19" xfId="0" applyNumberFormat="1" applyFont="1" applyFill="1" applyBorder="1"/>
    <xf numFmtId="9" fontId="15" fillId="0" borderId="22" xfId="0" applyNumberFormat="1" applyFont="1" applyFill="1" applyBorder="1"/>
    <xf numFmtId="49" fontId="15" fillId="9" borderId="24" xfId="0" applyFont="1" applyFill="1" applyBorder="1"/>
    <xf numFmtId="0" fontId="15" fillId="9" borderId="24" xfId="0" applyNumberFormat="1" applyFont="1" applyFill="1" applyBorder="1"/>
    <xf numFmtId="9" fontId="15" fillId="0" borderId="0" xfId="0" applyNumberFormat="1" applyFont="1" applyFill="1"/>
    <xf numFmtId="49" fontId="15" fillId="9" borderId="26" xfId="0" applyFont="1" applyFill="1" applyBorder="1"/>
    <xf numFmtId="0" fontId="15" fillId="9" borderId="26" xfId="0" applyNumberFormat="1" applyFont="1" applyFill="1" applyBorder="1"/>
    <xf numFmtId="9" fontId="15" fillId="0" borderId="27" xfId="0" applyNumberFormat="1" applyFont="1" applyFill="1" applyBorder="1"/>
    <xf numFmtId="49" fontId="195" fillId="0" borderId="0" xfId="0" applyFont="1"/>
    <xf numFmtId="49" fontId="15" fillId="2" borderId="19" xfId="0" applyFont="1" applyFill="1" applyBorder="1"/>
    <xf numFmtId="49" fontId="15" fillId="2" borderId="20" xfId="0" applyFont="1" applyFill="1" applyBorder="1"/>
    <xf numFmtId="49" fontId="15" fillId="2" borderId="21" xfId="0" applyFont="1" applyFill="1" applyBorder="1"/>
    <xf numFmtId="49" fontId="15" fillId="2" borderId="22" xfId="0" applyFont="1" applyFill="1" applyBorder="1"/>
    <xf numFmtId="49" fontId="15" fillId="2" borderId="23" xfId="0" applyFont="1" applyFill="1" applyBorder="1"/>
    <xf numFmtId="0" fontId="15" fillId="2" borderId="19" xfId="0" applyNumberFormat="1" applyFont="1" applyFill="1" applyBorder="1"/>
    <xf numFmtId="0" fontId="15" fillId="2" borderId="22" xfId="0" applyNumberFormat="1" applyFont="1" applyFill="1" applyBorder="1"/>
    <xf numFmtId="0" fontId="15" fillId="2" borderId="23" xfId="0" applyNumberFormat="1" applyFont="1" applyFill="1" applyBorder="1"/>
    <xf numFmtId="49" fontId="15" fillId="2" borderId="24" xfId="0" applyFont="1" applyFill="1" applyBorder="1"/>
    <xf numFmtId="0" fontId="15" fillId="2" borderId="24" xfId="0" applyNumberFormat="1" applyFont="1" applyFill="1" applyBorder="1"/>
    <xf numFmtId="0" fontId="15" fillId="2" borderId="0" xfId="0" applyNumberFormat="1" applyFont="1" applyFill="1"/>
    <xf numFmtId="0" fontId="15" fillId="2" borderId="25" xfId="0" applyNumberFormat="1" applyFont="1" applyFill="1" applyBorder="1"/>
    <xf numFmtId="49" fontId="15" fillId="2" borderId="26" xfId="0" applyFont="1" applyFill="1" applyBorder="1"/>
    <xf numFmtId="0" fontId="15" fillId="2" borderId="26" xfId="0" applyNumberFormat="1" applyFont="1" applyFill="1" applyBorder="1"/>
    <xf numFmtId="0" fontId="15" fillId="2" borderId="27" xfId="0" applyNumberFormat="1" applyFont="1" applyFill="1" applyBorder="1"/>
    <xf numFmtId="0" fontId="15" fillId="2" borderId="28" xfId="0" applyNumberFormat="1" applyFont="1" applyFill="1" applyBorder="1"/>
    <xf numFmtId="49" fontId="192" fillId="9" borderId="0" xfId="0" applyFont="1" applyFill="1"/>
    <xf numFmtId="49" fontId="15" fillId="9" borderId="79" xfId="0" applyFont="1" applyFill="1" applyBorder="1"/>
    <xf numFmtId="49" fontId="15" fillId="9" borderId="81" xfId="0" applyFont="1" applyFill="1" applyBorder="1"/>
    <xf numFmtId="10" fontId="15" fillId="9" borderId="22" xfId="0" applyNumberFormat="1" applyFont="1" applyFill="1" applyBorder="1"/>
    <xf numFmtId="10" fontId="15" fillId="9" borderId="19" xfId="0" applyNumberFormat="1" applyFont="1" applyFill="1" applyBorder="1"/>
    <xf numFmtId="10" fontId="15" fillId="9" borderId="23" xfId="0" applyNumberFormat="1" applyFont="1" applyFill="1" applyBorder="1"/>
    <xf numFmtId="10" fontId="15" fillId="9" borderId="0" xfId="0" applyNumberFormat="1" applyFont="1" applyFill="1"/>
    <xf numFmtId="10" fontId="15" fillId="9" borderId="24" xfId="0" applyNumberFormat="1" applyFont="1" applyFill="1" applyBorder="1"/>
    <xf numFmtId="10" fontId="15" fillId="9" borderId="25" xfId="0" applyNumberFormat="1" applyFont="1" applyFill="1" applyBorder="1"/>
    <xf numFmtId="49" fontId="191" fillId="0" borderId="0" xfId="0" applyFont="1" applyBorder="1"/>
    <xf numFmtId="9" fontId="191" fillId="0" borderId="0" xfId="0" applyNumberFormat="1" applyFont="1" applyBorder="1"/>
    <xf numFmtId="49" fontId="15" fillId="2" borderId="0" xfId="0" applyFont="1" applyFill="1"/>
    <xf numFmtId="49" fontId="197" fillId="9" borderId="0" xfId="0" applyFont="1" applyFill="1"/>
    <xf numFmtId="10" fontId="15" fillId="9" borderId="27" xfId="0" applyNumberFormat="1" applyFont="1" applyFill="1" applyBorder="1"/>
    <xf numFmtId="10" fontId="15" fillId="9" borderId="26" xfId="0" applyNumberFormat="1" applyFont="1" applyFill="1" applyBorder="1"/>
    <xf numFmtId="10" fontId="15" fillId="9" borderId="28" xfId="0" applyNumberFormat="1" applyFont="1" applyFill="1" applyBorder="1"/>
    <xf numFmtId="49" fontId="191" fillId="2" borderId="0" xfId="0" applyFont="1" applyFill="1" applyBorder="1"/>
    <xf numFmtId="10" fontId="191" fillId="2" borderId="0" xfId="0" applyNumberFormat="1" applyFont="1" applyFill="1" applyBorder="1"/>
    <xf numFmtId="49" fontId="198" fillId="4" borderId="4" xfId="0" applyFont="1" applyFill="1" applyBorder="1" applyAlignment="1">
      <alignment horizontal="center" vertical="center"/>
    </xf>
    <xf numFmtId="49" fontId="198" fillId="4" borderId="3" xfId="0" applyFont="1" applyFill="1" applyBorder="1" applyAlignment="1">
      <alignment horizontal="center" vertical="center" wrapText="1"/>
    </xf>
    <xf numFmtId="49" fontId="198" fillId="4" borderId="4" xfId="0" applyFont="1" applyFill="1" applyBorder="1" applyAlignment="1">
      <alignment horizontal="center" vertical="center" wrapText="1"/>
    </xf>
    <xf numFmtId="49" fontId="198" fillId="4" borderId="3" xfId="0" applyFont="1" applyFill="1" applyBorder="1" applyAlignment="1">
      <alignment horizontal="center" vertical="center"/>
    </xf>
    <xf numFmtId="49" fontId="198" fillId="4" borderId="1" xfId="0" applyFont="1" applyFill="1" applyBorder="1" applyAlignment="1">
      <alignment horizontal="center" vertical="center"/>
    </xf>
    <xf numFmtId="49" fontId="198" fillId="4" borderId="1" xfId="0" applyFont="1" applyFill="1" applyBorder="1"/>
    <xf numFmtId="49" fontId="193" fillId="9" borderId="0" xfId="0" applyFont="1" applyFill="1"/>
    <xf numFmtId="49" fontId="198" fillId="4" borderId="2" xfId="0" applyFont="1" applyFill="1" applyBorder="1"/>
    <xf numFmtId="49" fontId="15" fillId="4" borderId="1" xfId="0" applyFont="1" applyFill="1" applyBorder="1"/>
    <xf numFmtId="0" fontId="3" fillId="0" borderId="0" xfId="2"/>
    <xf numFmtId="49" fontId="12" fillId="0" borderId="19" xfId="0" pivotButton="1" applyFont="1" applyBorder="1"/>
    <xf numFmtId="49" fontId="12" fillId="0" borderId="21" xfId="0" applyFont="1" applyBorder="1"/>
    <xf numFmtId="49" fontId="12" fillId="0" borderId="19" xfId="0" applyFont="1" applyBorder="1"/>
    <xf numFmtId="49" fontId="12" fillId="0" borderId="40" xfId="0" applyFont="1" applyBorder="1"/>
    <xf numFmtId="49" fontId="12" fillId="0" borderId="24" xfId="0" applyFont="1" applyBorder="1"/>
    <xf numFmtId="49" fontId="12" fillId="0" borderId="26" xfId="0" applyFont="1" applyBorder="1"/>
    <xf numFmtId="9" fontId="12" fillId="0" borderId="19" xfId="0" applyNumberFormat="1" applyFont="1" applyFill="1" applyBorder="1"/>
    <xf numFmtId="9" fontId="12" fillId="0" borderId="40" xfId="0" applyNumberFormat="1" applyFont="1" applyFill="1" applyBorder="1"/>
    <xf numFmtId="9" fontId="12" fillId="0" borderId="26" xfId="0" applyNumberFormat="1" applyFont="1" applyFill="1" applyBorder="1"/>
    <xf numFmtId="9" fontId="12" fillId="0" borderId="41" xfId="0" applyNumberFormat="1" applyFont="1" applyFill="1" applyBorder="1"/>
    <xf numFmtId="49" fontId="12" fillId="9" borderId="19" xfId="0" applyFont="1" applyFill="1" applyBorder="1"/>
    <xf numFmtId="49" fontId="12" fillId="9" borderId="20" xfId="0" applyFont="1" applyFill="1" applyBorder="1"/>
    <xf numFmtId="49" fontId="12" fillId="9" borderId="21" xfId="0" applyFont="1" applyFill="1" applyBorder="1"/>
    <xf numFmtId="49" fontId="12" fillId="9" borderId="22" xfId="0" applyFont="1" applyFill="1" applyBorder="1"/>
    <xf numFmtId="49" fontId="12" fillId="9" borderId="23" xfId="0" applyFont="1" applyFill="1" applyBorder="1"/>
    <xf numFmtId="0" fontId="12" fillId="9" borderId="19" xfId="0" applyNumberFormat="1" applyFont="1" applyFill="1" applyBorder="1"/>
    <xf numFmtId="0" fontId="12" fillId="9" borderId="22" xfId="0" applyNumberFormat="1" applyFont="1" applyFill="1" applyBorder="1"/>
    <xf numFmtId="0" fontId="12" fillId="9" borderId="23" xfId="0" applyNumberFormat="1" applyFont="1" applyFill="1" applyBorder="1"/>
    <xf numFmtId="49" fontId="12" fillId="9" borderId="26" xfId="0" applyFont="1" applyFill="1" applyBorder="1"/>
    <xf numFmtId="0" fontId="12" fillId="9" borderId="26" xfId="0" applyNumberFormat="1" applyFont="1" applyFill="1" applyBorder="1"/>
    <xf numFmtId="0" fontId="12" fillId="9" borderId="27" xfId="0" applyNumberFormat="1" applyFont="1" applyFill="1" applyBorder="1"/>
    <xf numFmtId="0" fontId="12" fillId="9" borderId="28" xfId="0" applyNumberFormat="1" applyFont="1" applyFill="1" applyBorder="1"/>
    <xf numFmtId="49" fontId="14" fillId="0" borderId="34" xfId="0" applyFont="1" applyBorder="1" applyAlignment="1"/>
    <xf numFmtId="49" fontId="14" fillId="0" borderId="62" xfId="0" applyFont="1" applyBorder="1" applyAlignment="1"/>
    <xf numFmtId="49" fontId="113" fillId="0" borderId="0" xfId="0" applyFont="1" applyBorder="1" applyAlignment="1">
      <alignment horizontal="center" vertical="center" wrapText="1"/>
    </xf>
    <xf numFmtId="49" fontId="0" fillId="0" borderId="0" xfId="0" applyBorder="1" applyAlignment="1">
      <alignment horizontal="center"/>
    </xf>
    <xf numFmtId="49" fontId="60" fillId="0" borderId="0" xfId="0" applyFont="1" applyBorder="1" applyAlignment="1">
      <alignment horizontal="center" vertical="center" wrapText="1"/>
    </xf>
    <xf numFmtId="49" fontId="14" fillId="0" borderId="0" xfId="0" applyFont="1" applyBorder="1" applyAlignment="1">
      <alignment horizontal="center"/>
    </xf>
    <xf numFmtId="49" fontId="199" fillId="0" borderId="0" xfId="0" applyFont="1"/>
    <xf numFmtId="49" fontId="200" fillId="2" borderId="0" xfId="0" applyFont="1" applyFill="1"/>
    <xf numFmtId="49" fontId="200" fillId="0" borderId="0" xfId="0" applyFont="1"/>
    <xf numFmtId="49" fontId="45" fillId="0" borderId="0" xfId="0" applyFont="1"/>
    <xf numFmtId="49" fontId="12" fillId="9" borderId="12" xfId="0" applyFont="1" applyFill="1" applyBorder="1"/>
    <xf numFmtId="49" fontId="12" fillId="9" borderId="7" xfId="0" applyFont="1" applyFill="1" applyBorder="1"/>
    <xf numFmtId="49" fontId="12" fillId="9" borderId="2" xfId="0" applyFont="1" applyFill="1" applyBorder="1"/>
    <xf numFmtId="0" fontId="12" fillId="18" borderId="1" xfId="3" applyFont="1" applyFill="1" applyBorder="1" applyAlignment="1">
      <alignment horizontal="left" vertical="center"/>
    </xf>
    <xf numFmtId="0" fontId="12" fillId="18" borderId="3" xfId="3" applyFont="1" applyFill="1" applyBorder="1" applyAlignment="1">
      <alignment horizontal="center" vertical="center" wrapText="1"/>
    </xf>
    <xf numFmtId="0" fontId="12" fillId="18" borderId="4" xfId="3" applyFont="1" applyFill="1" applyBorder="1" applyAlignment="1">
      <alignment horizontal="center" vertical="center" wrapText="1"/>
    </xf>
    <xf numFmtId="0" fontId="12" fillId="18" borderId="3" xfId="3" applyFont="1" applyFill="1" applyBorder="1" applyAlignment="1">
      <alignment horizontal="left" vertical="center"/>
    </xf>
    <xf numFmtId="49" fontId="12" fillId="9" borderId="1" xfId="0" applyFont="1" applyFill="1" applyBorder="1"/>
    <xf numFmtId="0" fontId="12" fillId="18" borderId="2" xfId="3" applyFont="1" applyFill="1" applyBorder="1" applyAlignment="1">
      <alignment horizontal="left" vertical="center"/>
    </xf>
    <xf numFmtId="0" fontId="12" fillId="18" borderId="1" xfId="3" applyFont="1" applyFill="1" applyBorder="1" applyAlignment="1">
      <alignment horizontal="center" vertical="center"/>
    </xf>
    <xf numFmtId="49" fontId="201" fillId="18" borderId="1" xfId="0" applyFont="1" applyFill="1" applyBorder="1"/>
    <xf numFmtId="3" fontId="12" fillId="18" borderId="1" xfId="3" applyNumberFormat="1" applyFont="1" applyFill="1" applyBorder="1" applyAlignment="1">
      <alignment horizontal="left" vertical="center" wrapText="1"/>
    </xf>
    <xf numFmtId="3" fontId="12" fillId="18" borderId="1" xfId="3" applyNumberFormat="1" applyFont="1" applyFill="1" applyBorder="1" applyAlignment="1">
      <alignment horizontal="center" vertical="center" wrapText="1"/>
    </xf>
    <xf numFmtId="0" fontId="12" fillId="18" borderId="1" xfId="3" applyNumberFormat="1" applyFont="1" applyFill="1" applyBorder="1" applyAlignment="1">
      <alignment horizontal="center" vertical="center"/>
    </xf>
    <xf numFmtId="49" fontId="202" fillId="2" borderId="0" xfId="0" applyFont="1" applyFill="1"/>
    <xf numFmtId="49" fontId="20" fillId="0" borderId="0" xfId="0" applyFont="1" applyBorder="1"/>
    <xf numFmtId="9" fontId="20" fillId="0" borderId="0" xfId="0" applyNumberFormat="1" applyFont="1" applyFill="1" applyBorder="1"/>
    <xf numFmtId="9" fontId="20" fillId="0" borderId="0" xfId="0" applyNumberFormat="1" applyFont="1" applyBorder="1"/>
    <xf numFmtId="49" fontId="203" fillId="0" borderId="0" xfId="0" applyFont="1"/>
    <xf numFmtId="49" fontId="204" fillId="0" borderId="0" xfId="0" applyFont="1" applyAlignment="1"/>
    <xf numFmtId="49" fontId="12" fillId="9" borderId="8" xfId="0" applyFont="1" applyFill="1" applyBorder="1"/>
    <xf numFmtId="49" fontId="12" fillId="9" borderId="9" xfId="0" applyFont="1" applyFill="1" applyBorder="1"/>
    <xf numFmtId="49" fontId="12" fillId="9" borderId="13" xfId="0" applyFont="1" applyFill="1" applyBorder="1"/>
    <xf numFmtId="49" fontId="12" fillId="9" borderId="4" xfId="0" applyFont="1" applyFill="1" applyBorder="1"/>
    <xf numFmtId="49" fontId="12" fillId="9" borderId="3" xfId="0" applyFont="1" applyFill="1" applyBorder="1"/>
    <xf numFmtId="49" fontId="205" fillId="0" borderId="0" xfId="0" applyFont="1"/>
    <xf numFmtId="49" fontId="185" fillId="0" borderId="0" xfId="0" applyFont="1" applyAlignment="1">
      <alignment vertical="top" wrapText="1"/>
    </xf>
    <xf numFmtId="49" fontId="46" fillId="0" borderId="0" xfId="0" applyFont="1" applyAlignment="1">
      <alignment horizontal="left" vertical="top"/>
    </xf>
    <xf numFmtId="0" fontId="3" fillId="0" borderId="1" xfId="0" applyNumberFormat="1" applyFont="1" applyBorder="1" applyAlignment="1">
      <alignment horizontal="center" wrapText="1" shrinkToFit="1"/>
    </xf>
    <xf numFmtId="0" fontId="3" fillId="0" borderId="0" xfId="0" applyNumberFormat="1" applyFont="1" applyFill="1"/>
    <xf numFmtId="49" fontId="32" fillId="0" borderId="0" xfId="0" applyFont="1" applyBorder="1" applyAlignment="1"/>
    <xf numFmtId="1" fontId="37" fillId="8" borderId="6" xfId="0" applyNumberFormat="1" applyFont="1" applyFill="1" applyBorder="1" applyAlignment="1" applyProtection="1">
      <alignment horizontal="center" vertical="center" wrapText="1" readingOrder="1"/>
      <protection locked="0"/>
    </xf>
    <xf numFmtId="1" fontId="37" fillId="8" borderId="7" xfId="0" applyNumberFormat="1" applyFont="1" applyFill="1" applyBorder="1" applyAlignment="1" applyProtection="1">
      <alignment horizontal="center" vertical="center" wrapText="1" readingOrder="1"/>
      <protection locked="0"/>
    </xf>
    <xf numFmtId="49" fontId="32" fillId="0" borderId="64" xfId="0" applyFont="1" applyBorder="1"/>
    <xf numFmtId="0" fontId="3" fillId="18" borderId="3" xfId="3" applyFont="1" applyFill="1" applyBorder="1" applyAlignment="1">
      <alignment horizontal="center" vertical="top" wrapText="1"/>
    </xf>
    <xf numFmtId="0" fontId="3" fillId="18" borderId="13" xfId="3" applyFont="1" applyFill="1" applyBorder="1" applyAlignment="1">
      <alignment horizontal="center" vertical="top" wrapText="1"/>
    </xf>
    <xf numFmtId="0" fontId="3" fillId="18" borderId="4" xfId="3" applyFont="1" applyFill="1" applyBorder="1" applyAlignment="1">
      <alignment horizontal="center" vertical="top" wrapText="1"/>
    </xf>
    <xf numFmtId="0" fontId="100" fillId="18" borderId="3" xfId="3" applyFont="1" applyFill="1" applyBorder="1" applyAlignment="1">
      <alignment horizontal="center" vertical="top" wrapText="1"/>
    </xf>
    <xf numFmtId="0" fontId="100" fillId="18" borderId="13" xfId="3" applyFont="1" applyFill="1" applyBorder="1" applyAlignment="1">
      <alignment horizontal="center" vertical="top" wrapText="1"/>
    </xf>
    <xf numFmtId="0" fontId="100" fillId="18" borderId="4" xfId="3" applyFont="1" applyFill="1" applyBorder="1" applyAlignment="1">
      <alignment horizontal="center" vertical="top" wrapText="1"/>
    </xf>
    <xf numFmtId="10" fontId="12" fillId="9" borderId="22" xfId="0" applyNumberFormat="1" applyFont="1" applyFill="1" applyBorder="1"/>
    <xf numFmtId="10" fontId="12" fillId="9" borderId="19" xfId="0" applyNumberFormat="1" applyFont="1" applyFill="1" applyBorder="1"/>
    <xf numFmtId="10" fontId="12" fillId="9" borderId="23" xfId="0" applyNumberFormat="1" applyFont="1" applyFill="1" applyBorder="1"/>
    <xf numFmtId="49" fontId="0" fillId="0" borderId="19" xfId="0" applyFont="1" applyFill="1" applyBorder="1"/>
    <xf numFmtId="49" fontId="0" fillId="0" borderId="21" xfId="0" applyFont="1" applyFill="1" applyBorder="1"/>
    <xf numFmtId="49" fontId="0" fillId="0" borderId="23" xfId="0" applyFont="1" applyFill="1" applyBorder="1"/>
    <xf numFmtId="49" fontId="0" fillId="0" borderId="26" xfId="0" applyFont="1" applyFill="1" applyBorder="1"/>
    <xf numFmtId="49" fontId="199" fillId="0" borderId="0" xfId="0" applyFont="1" applyFill="1"/>
    <xf numFmtId="49" fontId="20" fillId="0" borderId="0" xfId="0" applyFont="1" applyFill="1" applyBorder="1"/>
    <xf numFmtId="49" fontId="20" fillId="2" borderId="0" xfId="0" applyFont="1" applyFill="1" applyBorder="1"/>
    <xf numFmtId="10" fontId="20" fillId="0" borderId="0" xfId="0" applyNumberFormat="1" applyFont="1" applyFill="1" applyBorder="1"/>
    <xf numFmtId="10" fontId="20" fillId="2" borderId="0" xfId="0" applyNumberFormat="1" applyFont="1" applyFill="1" applyBorder="1"/>
    <xf numFmtId="0" fontId="15" fillId="18" borderId="1" xfId="3" applyFont="1" applyFill="1" applyBorder="1" applyAlignment="1">
      <alignment horizontal="center" vertical="top" wrapText="1"/>
    </xf>
    <xf numFmtId="0" fontId="12" fillId="18" borderId="1" xfId="3" applyFont="1" applyFill="1" applyBorder="1" applyAlignment="1">
      <alignment horizontal="center" vertical="top" wrapText="1"/>
    </xf>
    <xf numFmtId="1" fontId="12" fillId="18" borderId="1" xfId="3" applyNumberFormat="1" applyFont="1" applyFill="1" applyBorder="1" applyAlignment="1">
      <alignment horizontal="center" vertical="top" wrapText="1"/>
    </xf>
    <xf numFmtId="1" fontId="12" fillId="18" borderId="3" xfId="3" applyNumberFormat="1" applyFont="1" applyFill="1" applyBorder="1" applyAlignment="1">
      <alignment horizontal="center" vertical="top" wrapText="1"/>
    </xf>
    <xf numFmtId="1" fontId="15" fillId="18" borderId="1" xfId="3" applyNumberFormat="1" applyFont="1" applyFill="1" applyBorder="1" applyAlignment="1">
      <alignment horizontal="center" vertical="top" wrapText="1"/>
    </xf>
    <xf numFmtId="1" fontId="206" fillId="18" borderId="1" xfId="3" applyNumberFormat="1" applyFont="1" applyFill="1" applyBorder="1" applyAlignment="1">
      <alignment horizontal="center" vertical="top" wrapText="1"/>
    </xf>
    <xf numFmtId="1" fontId="206" fillId="18" borderId="1" xfId="3" applyNumberFormat="1" applyFont="1" applyFill="1" applyBorder="1" applyAlignment="1" applyProtection="1">
      <alignment horizontal="center" vertical="center"/>
      <protection locked="0"/>
    </xf>
    <xf numFmtId="0" fontId="206" fillId="18" borderId="1" xfId="3" applyFont="1" applyFill="1" applyBorder="1" applyAlignment="1">
      <alignment horizontal="center" vertical="top" wrapText="1"/>
    </xf>
    <xf numFmtId="0" fontId="1" fillId="0" borderId="0" xfId="0" applyNumberFormat="1" applyFont="1"/>
    <xf numFmtId="173" fontId="0" fillId="2" borderId="19" xfId="0" applyNumberFormat="1" applyFont="1" applyFill="1" applyBorder="1" applyAlignment="1">
      <alignment horizontal="center"/>
    </xf>
    <xf numFmtId="173" fontId="0" fillId="2" borderId="22" xfId="0" applyNumberFormat="1" applyFont="1" applyFill="1" applyBorder="1" applyAlignment="1">
      <alignment horizontal="center"/>
    </xf>
    <xf numFmtId="173" fontId="0" fillId="0" borderId="19" xfId="0" applyNumberFormat="1" applyFont="1" applyBorder="1" applyAlignment="1">
      <alignment horizontal="left"/>
    </xf>
    <xf numFmtId="173" fontId="0" fillId="0" borderId="24" xfId="0" applyNumberFormat="1" applyFont="1" applyBorder="1" applyAlignment="1">
      <alignment horizontal="left"/>
    </xf>
    <xf numFmtId="173" fontId="0" fillId="2" borderId="19" xfId="0" applyNumberFormat="1" applyFont="1" applyFill="1" applyBorder="1" applyAlignment="1">
      <alignment horizontal="left"/>
    </xf>
    <xf numFmtId="173" fontId="0" fillId="2" borderId="24" xfId="0" applyNumberFormat="1" applyFont="1" applyFill="1" applyBorder="1" applyAlignment="1">
      <alignment horizontal="left"/>
    </xf>
    <xf numFmtId="0" fontId="0" fillId="9" borderId="19" xfId="0" applyNumberFormat="1" applyFont="1" applyFill="1" applyBorder="1" applyAlignment="1">
      <alignment horizontal="left"/>
    </xf>
    <xf numFmtId="0" fontId="0" fillId="9" borderId="20" xfId="0" applyNumberFormat="1" applyFont="1" applyFill="1" applyBorder="1" applyAlignment="1">
      <alignment horizontal="left"/>
    </xf>
    <xf numFmtId="49" fontId="15" fillId="0" borderId="19" xfId="0" applyFont="1" applyFill="1" applyBorder="1"/>
    <xf numFmtId="49" fontId="15" fillId="0" borderId="21" xfId="0" applyFont="1" applyFill="1" applyBorder="1"/>
    <xf numFmtId="49" fontId="15" fillId="0" borderId="23" xfId="0" applyFont="1" applyFill="1" applyBorder="1"/>
    <xf numFmtId="166" fontId="15" fillId="0" borderId="19" xfId="0" applyNumberFormat="1" applyFont="1" applyFill="1" applyBorder="1"/>
    <xf numFmtId="166" fontId="15" fillId="0" borderId="23" xfId="0" applyNumberFormat="1" applyFont="1" applyFill="1" applyBorder="1"/>
    <xf numFmtId="49" fontId="15" fillId="0" borderId="26" xfId="0" applyFont="1" applyFill="1" applyBorder="1"/>
    <xf numFmtId="166" fontId="15" fillId="0" borderId="26" xfId="0" applyNumberFormat="1" applyFont="1" applyFill="1" applyBorder="1"/>
    <xf numFmtId="166" fontId="15" fillId="0" borderId="28" xfId="0" applyNumberFormat="1" applyFont="1" applyFill="1" applyBorder="1"/>
    <xf numFmtId="166" fontId="0" fillId="0" borderId="19" xfId="0" applyNumberFormat="1" applyFont="1" applyFill="1" applyBorder="1"/>
    <xf numFmtId="166" fontId="0" fillId="0" borderId="23" xfId="0" applyNumberFormat="1" applyFont="1" applyFill="1" applyBorder="1"/>
    <xf numFmtId="166" fontId="0" fillId="0" borderId="26" xfId="0" applyNumberFormat="1" applyFont="1" applyFill="1" applyBorder="1"/>
    <xf numFmtId="166" fontId="0" fillId="0" borderId="28" xfId="0" applyNumberFormat="1" applyFont="1" applyFill="1" applyBorder="1"/>
    <xf numFmtId="3" fontId="0" fillId="0" borderId="23" xfId="0" applyNumberFormat="1" applyBorder="1"/>
    <xf numFmtId="3" fontId="0" fillId="0" borderId="28" xfId="0" applyNumberFormat="1" applyBorder="1"/>
    <xf numFmtId="49" fontId="113" fillId="0" borderId="0" xfId="0" applyFont="1" applyBorder="1" applyAlignment="1">
      <alignment vertical="center" wrapText="1"/>
    </xf>
    <xf numFmtId="49" fontId="103" fillId="9" borderId="0" xfId="0" applyFont="1" applyFill="1"/>
    <xf numFmtId="49" fontId="17" fillId="9" borderId="1" xfId="0" applyFont="1" applyFill="1" applyBorder="1" applyAlignment="1">
      <alignment horizontal="justify" vertical="top" wrapText="1"/>
    </xf>
    <xf numFmtId="49" fontId="207" fillId="9" borderId="1" xfId="0" applyFont="1" applyFill="1" applyBorder="1"/>
    <xf numFmtId="49" fontId="17" fillId="9" borderId="1" xfId="0" applyFont="1" applyFill="1" applyBorder="1" applyAlignment="1">
      <alignment horizontal="center"/>
    </xf>
    <xf numFmtId="49" fontId="10" fillId="9" borderId="1" xfId="0" applyFont="1" applyFill="1" applyBorder="1" applyAlignment="1">
      <alignment horizontal="center"/>
    </xf>
    <xf numFmtId="49" fontId="44" fillId="9" borderId="1" xfId="0" applyFont="1" applyFill="1" applyBorder="1" applyAlignment="1">
      <alignment horizontal="center"/>
    </xf>
    <xf numFmtId="49" fontId="10" fillId="9" borderId="1" xfId="0" applyFont="1" applyFill="1" applyBorder="1" applyAlignment="1">
      <alignment horizontal="justify" vertical="top" wrapText="1"/>
    </xf>
    <xf numFmtId="49" fontId="44" fillId="0" borderId="0" xfId="0" applyFont="1" applyFill="1"/>
    <xf numFmtId="49" fontId="7" fillId="0" borderId="0" xfId="0" applyFont="1" applyFill="1"/>
    <xf numFmtId="49" fontId="17" fillId="0" borderId="0" xfId="0" applyFont="1" applyFill="1"/>
    <xf numFmtId="0" fontId="32" fillId="3" borderId="14" xfId="0" applyNumberFormat="1" applyFont="1" applyFill="1" applyBorder="1"/>
    <xf numFmtId="49" fontId="193" fillId="9" borderId="20" xfId="0" applyFont="1" applyFill="1" applyBorder="1"/>
    <xf numFmtId="49" fontId="191" fillId="9" borderId="82" xfId="0" applyFont="1" applyFill="1" applyBorder="1"/>
    <xf numFmtId="167" fontId="0" fillId="2" borderId="19" xfId="0" applyNumberFormat="1" applyFont="1" applyFill="1" applyBorder="1"/>
    <xf numFmtId="167" fontId="0" fillId="2" borderId="23" xfId="0" applyNumberFormat="1" applyFont="1" applyFill="1" applyBorder="1"/>
    <xf numFmtId="167" fontId="0" fillId="2" borderId="26" xfId="0" applyNumberFormat="1" applyFont="1" applyFill="1" applyBorder="1"/>
    <xf numFmtId="167" fontId="0" fillId="2" borderId="28" xfId="0" applyNumberFormat="1" applyFont="1" applyFill="1" applyBorder="1"/>
    <xf numFmtId="49" fontId="0" fillId="9" borderId="24" xfId="0" applyFont="1" applyFill="1" applyBorder="1"/>
    <xf numFmtId="49" fontId="15" fillId="0" borderId="24" xfId="0" applyFont="1" applyFill="1" applyBorder="1"/>
    <xf numFmtId="166" fontId="15" fillId="0" borderId="24" xfId="0" applyNumberFormat="1" applyFont="1" applyFill="1" applyBorder="1"/>
    <xf numFmtId="166" fontId="15" fillId="0" borderId="25" xfId="0" applyNumberFormat="1" applyFont="1" applyFill="1" applyBorder="1"/>
    <xf numFmtId="0" fontId="0" fillId="9" borderId="24" xfId="0" applyNumberFormat="1" applyFont="1" applyFill="1" applyBorder="1"/>
    <xf numFmtId="10" fontId="0" fillId="9" borderId="0" xfId="0" applyNumberFormat="1" applyFont="1" applyFill="1"/>
    <xf numFmtId="10" fontId="0" fillId="9" borderId="24" xfId="0" applyNumberFormat="1" applyFont="1" applyFill="1" applyBorder="1"/>
    <xf numFmtId="10" fontId="0" fillId="9" borderId="25" xfId="0" applyNumberFormat="1" applyFont="1" applyFill="1" applyBorder="1"/>
    <xf numFmtId="0" fontId="12" fillId="9" borderId="24" xfId="0" applyNumberFormat="1" applyFont="1" applyFill="1" applyBorder="1"/>
    <xf numFmtId="10" fontId="12" fillId="9" borderId="0" xfId="0" applyNumberFormat="1" applyFont="1" applyFill="1"/>
    <xf numFmtId="10" fontId="12" fillId="9" borderId="24" xfId="0" applyNumberFormat="1" applyFont="1" applyFill="1" applyBorder="1"/>
    <xf numFmtId="10" fontId="12" fillId="9" borderId="25" xfId="0" applyNumberFormat="1" applyFont="1" applyFill="1" applyBorder="1"/>
    <xf numFmtId="49" fontId="0" fillId="0" borderId="24" xfId="0" applyFont="1" applyFill="1" applyBorder="1"/>
    <xf numFmtId="166" fontId="0" fillId="0" borderId="24" xfId="0" applyNumberFormat="1" applyFont="1" applyFill="1" applyBorder="1"/>
    <xf numFmtId="166" fontId="0" fillId="0" borderId="25" xfId="0" applyNumberFormat="1" applyFont="1" applyFill="1" applyBorder="1"/>
    <xf numFmtId="167" fontId="0" fillId="2" borderId="24" xfId="0" applyNumberFormat="1" applyFont="1" applyFill="1" applyBorder="1"/>
    <xf numFmtId="167" fontId="0" fillId="2" borderId="25" xfId="0" applyNumberFormat="1" applyFont="1" applyFill="1" applyBorder="1"/>
    <xf numFmtId="171" fontId="208" fillId="25" borderId="0" xfId="5" applyNumberFormat="1" applyFont="1" applyFill="1" applyAlignment="1">
      <alignment horizontal="center" vertical="center" wrapText="1"/>
    </xf>
    <xf numFmtId="171" fontId="179" fillId="0" borderId="0" xfId="5" applyNumberFormat="1" applyFont="1" applyFill="1" applyBorder="1" applyAlignment="1">
      <alignment horizontal="center" vertical="center" wrapText="1"/>
    </xf>
    <xf numFmtId="49" fontId="0" fillId="0" borderId="24" xfId="0" applyBorder="1"/>
    <xf numFmtId="49" fontId="0" fillId="2" borderId="22" xfId="0" applyFont="1" applyFill="1" applyBorder="1"/>
    <xf numFmtId="0" fontId="0" fillId="2" borderId="22" xfId="0" applyNumberFormat="1" applyFont="1" applyFill="1" applyBorder="1"/>
    <xf numFmtId="0" fontId="0" fillId="2" borderId="0" xfId="0" applyNumberFormat="1" applyFont="1" applyFill="1"/>
    <xf numFmtId="0" fontId="0" fillId="2" borderId="27" xfId="0" applyNumberFormat="1" applyFont="1" applyFill="1" applyBorder="1"/>
    <xf numFmtId="49" fontId="0" fillId="0" borderId="79" xfId="0" applyBorder="1"/>
    <xf numFmtId="9" fontId="0" fillId="0" borderId="24" xfId="0" applyNumberFormat="1" applyFont="1" applyBorder="1"/>
    <xf numFmtId="9" fontId="0" fillId="0" borderId="0" xfId="0" applyNumberFormat="1" applyFont="1"/>
    <xf numFmtId="9" fontId="0" fillId="0" borderId="22" xfId="0" applyNumberFormat="1" applyFont="1" applyFill="1" applyBorder="1"/>
    <xf numFmtId="9" fontId="0" fillId="0" borderId="27" xfId="0" applyNumberFormat="1" applyFont="1" applyFill="1" applyBorder="1"/>
    <xf numFmtId="49" fontId="0" fillId="0" borderId="20" xfId="0" applyFont="1" applyFill="1" applyBorder="1"/>
    <xf numFmtId="49" fontId="0" fillId="0" borderId="22" xfId="0" applyFont="1" applyFill="1" applyBorder="1"/>
    <xf numFmtId="9" fontId="0" fillId="0" borderId="0" xfId="0" applyNumberFormat="1" applyFont="1" applyFill="1"/>
    <xf numFmtId="49" fontId="15" fillId="0" borderId="20" xfId="0" applyFont="1" applyFill="1" applyBorder="1"/>
    <xf numFmtId="49" fontId="15" fillId="0" borderId="22" xfId="0" applyFont="1" applyFill="1" applyBorder="1"/>
    <xf numFmtId="166" fontId="15" fillId="0" borderId="22" xfId="0" applyNumberFormat="1" applyFont="1" applyFill="1" applyBorder="1"/>
    <xf numFmtId="166" fontId="15" fillId="0" borderId="0" xfId="0" applyNumberFormat="1" applyFont="1" applyFill="1"/>
    <xf numFmtId="166" fontId="15" fillId="0" borderId="27" xfId="0" applyNumberFormat="1" applyFont="1" applyFill="1" applyBorder="1"/>
    <xf numFmtId="3" fontId="0" fillId="0" borderId="25" xfId="0" applyNumberFormat="1" applyBorder="1"/>
    <xf numFmtId="9" fontId="0" fillId="2" borderId="24" xfId="0" applyNumberFormat="1" applyFont="1" applyFill="1" applyBorder="1"/>
    <xf numFmtId="9" fontId="0" fillId="2" borderId="0" xfId="0" applyNumberFormat="1" applyFont="1" applyFill="1"/>
    <xf numFmtId="9" fontId="0" fillId="2" borderId="25" xfId="0" applyNumberFormat="1" applyFont="1" applyFill="1" applyBorder="1"/>
    <xf numFmtId="166" fontId="0" fillId="0" borderId="22" xfId="0" applyNumberFormat="1" applyFont="1" applyFill="1" applyBorder="1"/>
    <xf numFmtId="166" fontId="0" fillId="0" borderId="0" xfId="0" applyNumberFormat="1" applyFont="1" applyFill="1"/>
    <xf numFmtId="166" fontId="0" fillId="0" borderId="27" xfId="0" applyNumberFormat="1" applyFont="1" applyFill="1" applyBorder="1"/>
    <xf numFmtId="167" fontId="0" fillId="2" borderId="22" xfId="0" applyNumberFormat="1" applyFont="1" applyFill="1" applyBorder="1"/>
    <xf numFmtId="167" fontId="0" fillId="2" borderId="0" xfId="0" applyNumberFormat="1" applyFont="1" applyFill="1"/>
    <xf numFmtId="167" fontId="0" fillId="2" borderId="27" xfId="0" applyNumberFormat="1" applyFont="1" applyFill="1" applyBorder="1"/>
    <xf numFmtId="49" fontId="32" fillId="3" borderId="0" xfId="0" applyFont="1" applyFill="1" applyBorder="1"/>
    <xf numFmtId="1" fontId="32" fillId="3" borderId="0" xfId="0" applyNumberFormat="1" applyFont="1" applyFill="1" applyBorder="1"/>
    <xf numFmtId="0" fontId="32" fillId="3" borderId="0" xfId="0" applyNumberFormat="1" applyFont="1" applyFill="1" applyBorder="1"/>
    <xf numFmtId="9" fontId="15" fillId="9" borderId="23" xfId="0" applyNumberFormat="1" applyFont="1" applyFill="1" applyBorder="1"/>
    <xf numFmtId="9" fontId="15" fillId="9" borderId="25" xfId="0" applyNumberFormat="1" applyFont="1" applyFill="1" applyBorder="1"/>
    <xf numFmtId="9" fontId="15" fillId="9" borderId="28" xfId="0" applyNumberFormat="1" applyFont="1" applyFill="1" applyBorder="1"/>
    <xf numFmtId="49" fontId="15" fillId="0" borderId="0" xfId="0" applyFont="1" applyFill="1" applyBorder="1"/>
    <xf numFmtId="9" fontId="15" fillId="0" borderId="0" xfId="0" applyNumberFormat="1" applyFont="1" applyFill="1" applyBorder="1"/>
    <xf numFmtId="49" fontId="32" fillId="0" borderId="0" xfId="0" applyFont="1" applyBorder="1" applyAlignment="1" applyProtection="1">
      <protection locked="0"/>
    </xf>
    <xf numFmtId="0" fontId="15" fillId="0" borderId="19" xfId="0" applyNumberFormat="1" applyFont="1" applyFill="1" applyBorder="1"/>
    <xf numFmtId="0" fontId="15" fillId="0" borderId="22" xfId="0" applyNumberFormat="1" applyFont="1" applyFill="1" applyBorder="1"/>
    <xf numFmtId="0" fontId="15" fillId="0" borderId="23" xfId="0" applyNumberFormat="1" applyFont="1" applyFill="1" applyBorder="1"/>
    <xf numFmtId="0" fontId="15" fillId="0" borderId="26" xfId="0" applyNumberFormat="1" applyFont="1" applyFill="1" applyBorder="1"/>
    <xf numFmtId="0" fontId="15" fillId="0" borderId="27" xfId="0" applyNumberFormat="1" applyFont="1" applyFill="1" applyBorder="1"/>
    <xf numFmtId="0" fontId="15" fillId="0" borderId="28" xfId="0" applyNumberFormat="1" applyFont="1" applyFill="1" applyBorder="1"/>
    <xf numFmtId="49" fontId="9" fillId="0" borderId="0" xfId="0" applyFont="1" applyFill="1" applyBorder="1" applyAlignment="1"/>
    <xf numFmtId="49" fontId="3" fillId="0" borderId="0" xfId="0" applyFont="1" applyFill="1" applyAlignment="1"/>
    <xf numFmtId="0" fontId="142" fillId="2" borderId="0" xfId="1" applyNumberFormat="1" applyFill="1" applyBorder="1" applyAlignment="1" applyProtection="1"/>
    <xf numFmtId="49" fontId="3" fillId="9" borderId="0" xfId="0" applyFont="1" applyFill="1" applyBorder="1" applyAlignment="1">
      <alignment horizontal="center"/>
    </xf>
    <xf numFmtId="49" fontId="3" fillId="9" borderId="0" xfId="0" applyFont="1" applyFill="1" applyBorder="1" applyAlignment="1">
      <alignment horizontal="center" vertical="center" wrapText="1"/>
    </xf>
    <xf numFmtId="49" fontId="32" fillId="0" borderId="0" xfId="0" applyFont="1" applyBorder="1" applyAlignment="1"/>
    <xf numFmtId="49" fontId="62" fillId="12" borderId="0" xfId="0" applyFont="1" applyFill="1" applyAlignment="1">
      <alignment horizontal="center" vertical="center"/>
    </xf>
    <xf numFmtId="49" fontId="46" fillId="0" borderId="0" xfId="0" applyFont="1" applyAlignment="1">
      <alignment horizontal="left" vertical="top"/>
    </xf>
    <xf numFmtId="0" fontId="180" fillId="0" borderId="0" xfId="0" applyNumberFormat="1" applyFont="1" applyFill="1" applyAlignment="1">
      <alignment horizontal="center" vertical="center" wrapText="1"/>
    </xf>
    <xf numFmtId="0" fontId="12" fillId="5" borderId="0" xfId="0" applyNumberFormat="1" applyFont="1" applyFill="1" applyAlignment="1">
      <alignment shrinkToFit="1"/>
    </xf>
    <xf numFmtId="49" fontId="179" fillId="26" borderId="0" xfId="0" applyFont="1" applyFill="1" applyAlignment="1">
      <alignment horizontal="center" vertical="center"/>
    </xf>
    <xf numFmtId="165" fontId="184" fillId="10" borderId="0" xfId="0" applyNumberFormat="1" applyFont="1" applyFill="1" applyAlignment="1">
      <alignment vertical="center" wrapText="1"/>
    </xf>
    <xf numFmtId="165" fontId="3" fillId="2" borderId="0" xfId="0" applyNumberFormat="1" applyFont="1" applyFill="1" applyAlignment="1"/>
    <xf numFmtId="171" fontId="15" fillId="0" borderId="19" xfId="0" applyNumberFormat="1" applyFont="1" applyFill="1" applyBorder="1"/>
    <xf numFmtId="171" fontId="15" fillId="0" borderId="22" xfId="0" applyNumberFormat="1" applyFont="1" applyFill="1" applyBorder="1"/>
    <xf numFmtId="171" fontId="15" fillId="0" borderId="23" xfId="0" applyNumberFormat="1" applyFont="1" applyFill="1" applyBorder="1"/>
    <xf numFmtId="171" fontId="15" fillId="0" borderId="26" xfId="0" applyNumberFormat="1" applyFont="1" applyFill="1" applyBorder="1"/>
    <xf numFmtId="171" fontId="15" fillId="0" borderId="27" xfId="0" applyNumberFormat="1" applyFont="1" applyFill="1" applyBorder="1"/>
    <xf numFmtId="171" fontId="15" fillId="0" borderId="28" xfId="0" applyNumberFormat="1" applyFont="1" applyFill="1" applyBorder="1"/>
    <xf numFmtId="168" fontId="0" fillId="9" borderId="27" xfId="0" applyNumberFormat="1" applyFont="1" applyFill="1" applyBorder="1"/>
    <xf numFmtId="168" fontId="0" fillId="9" borderId="26" xfId="0" applyNumberFormat="1" applyFont="1" applyFill="1" applyBorder="1"/>
    <xf numFmtId="168" fontId="0" fillId="9" borderId="28" xfId="0" applyNumberFormat="1" applyFont="1" applyFill="1" applyBorder="1"/>
    <xf numFmtId="168" fontId="15" fillId="9" borderId="22" xfId="0" applyNumberFormat="1" applyFont="1" applyFill="1" applyBorder="1"/>
    <xf numFmtId="168" fontId="15" fillId="9" borderId="19" xfId="0" applyNumberFormat="1" applyFont="1" applyFill="1" applyBorder="1"/>
    <xf numFmtId="168" fontId="15" fillId="9" borderId="23" xfId="0" applyNumberFormat="1" applyFont="1" applyFill="1" applyBorder="1"/>
    <xf numFmtId="49" fontId="15" fillId="2" borderId="0" xfId="0" applyFont="1" applyFill="1" applyBorder="1"/>
    <xf numFmtId="0" fontId="15" fillId="2" borderId="0" xfId="0" applyNumberFormat="1" applyFont="1" applyFill="1" applyBorder="1"/>
    <xf numFmtId="49" fontId="15" fillId="0" borderId="0" xfId="0" applyFont="1" applyBorder="1"/>
    <xf numFmtId="9" fontId="15" fillId="0" borderId="0" xfId="0" applyNumberFormat="1" applyFont="1" applyBorder="1"/>
    <xf numFmtId="49" fontId="9" fillId="10" borderId="0" xfId="0" applyFont="1" applyFill="1"/>
    <xf numFmtId="49" fontId="9" fillId="0" borderId="0" xfId="0" applyFont="1"/>
    <xf numFmtId="3" fontId="0" fillId="0" borderId="0" xfId="0" applyNumberFormat="1" applyBorder="1"/>
    <xf numFmtId="49" fontId="179" fillId="11" borderId="1" xfId="0" applyNumberFormat="1" applyFont="1" applyFill="1" applyBorder="1" applyAlignment="1">
      <alignment horizontal="center" vertical="center" wrapText="1"/>
    </xf>
    <xf numFmtId="49" fontId="3" fillId="0" borderId="1" xfId="0" applyNumberFormat="1" applyFont="1" applyBorder="1" applyAlignment="1">
      <alignment shrinkToFit="1"/>
    </xf>
    <xf numFmtId="49" fontId="209" fillId="0" borderId="0" xfId="0" applyFont="1" applyAlignment="1">
      <alignment horizontal="left" vertical="center"/>
    </xf>
    <xf numFmtId="49" fontId="66" fillId="20" borderId="0" xfId="0" applyFont="1" applyFill="1" applyBorder="1" applyAlignment="1">
      <alignment horizontal="center" vertical="top" wrapText="1"/>
    </xf>
    <xf numFmtId="49" fontId="73" fillId="0" borderId="0" xfId="0" applyFont="1" applyAlignment="1">
      <alignment horizontal="left" vertical="top" wrapText="1"/>
    </xf>
    <xf numFmtId="49" fontId="73" fillId="0" borderId="0" xfId="0" applyFont="1" applyAlignment="1">
      <alignment horizontal="left" vertical="top"/>
    </xf>
    <xf numFmtId="49" fontId="130" fillId="0" borderId="0" xfId="0" applyFont="1" applyAlignment="1">
      <alignment horizontal="left" vertical="top"/>
    </xf>
    <xf numFmtId="49" fontId="130" fillId="0" borderId="0" xfId="0" applyFont="1" applyAlignment="1">
      <alignment horizontal="left"/>
    </xf>
    <xf numFmtId="49" fontId="62" fillId="10" borderId="29" xfId="0" applyFont="1" applyFill="1" applyBorder="1" applyAlignment="1">
      <alignment vertical="center" wrapText="1"/>
    </xf>
    <xf numFmtId="49" fontId="62" fillId="10" borderId="0" xfId="0" applyFont="1" applyFill="1" applyBorder="1" applyAlignment="1">
      <alignment vertical="center" wrapText="1"/>
    </xf>
    <xf numFmtId="49" fontId="62" fillId="10" borderId="30" xfId="0" applyFont="1" applyFill="1" applyBorder="1" applyAlignment="1">
      <alignment vertical="center" wrapText="1"/>
    </xf>
    <xf numFmtId="0" fontId="142" fillId="0" borderId="0" xfId="1" applyAlignment="1" applyProtection="1"/>
    <xf numFmtId="0" fontId="64" fillId="0" borderId="0" xfId="1" applyFont="1" applyBorder="1" applyAlignment="1" applyProtection="1"/>
    <xf numFmtId="49" fontId="0" fillId="0" borderId="0" xfId="0" applyNumberFormat="1"/>
    <xf numFmtId="0" fontId="29" fillId="0" borderId="0" xfId="0" applyNumberFormat="1" applyFont="1"/>
    <xf numFmtId="49" fontId="0" fillId="0" borderId="0" xfId="0"/>
    <xf numFmtId="0" fontId="163" fillId="0" borderId="0" xfId="5" applyNumberFormat="1" applyFont="1" applyBorder="1" applyAlignment="1">
      <alignment horizontal="center" readingOrder="1"/>
    </xf>
    <xf numFmtId="0" fontId="142" fillId="0" borderId="0" xfId="1" applyBorder="1" applyAlignment="1" applyProtection="1">
      <alignment vertical="top" wrapText="1"/>
    </xf>
    <xf numFmtId="49" fontId="88" fillId="0" borderId="0" xfId="0" applyFont="1" applyBorder="1" applyAlignment="1">
      <alignment vertical="center"/>
    </xf>
    <xf numFmtId="49" fontId="73" fillId="0" borderId="0" xfId="0" applyFont="1" applyBorder="1" applyAlignment="1">
      <alignment vertical="top" wrapText="1"/>
    </xf>
    <xf numFmtId="49" fontId="210" fillId="0" borderId="0" xfId="0" applyFont="1" applyFill="1"/>
    <xf numFmtId="49" fontId="120" fillId="0" borderId="0" xfId="0" applyNumberFormat="1" applyFont="1" applyBorder="1" applyAlignment="1">
      <alignment horizontal="center" vertical="top" wrapText="1"/>
    </xf>
    <xf numFmtId="49" fontId="120" fillId="0" borderId="54" xfId="0" applyNumberFormat="1" applyFont="1" applyBorder="1" applyAlignment="1">
      <alignment vertical="top" wrapText="1"/>
    </xf>
    <xf numFmtId="49" fontId="120" fillId="0" borderId="0" xfId="0" applyNumberFormat="1" applyFont="1" applyBorder="1" applyAlignment="1">
      <alignment vertical="top" wrapText="1"/>
    </xf>
    <xf numFmtId="49" fontId="66" fillId="20" borderId="0" xfId="0" applyFont="1" applyFill="1" applyAlignment="1">
      <alignment horizontal="center" vertical="top" wrapText="1"/>
    </xf>
    <xf numFmtId="49" fontId="22" fillId="0" borderId="0" xfId="0" applyFont="1" applyFill="1" applyAlignment="1"/>
    <xf numFmtId="49" fontId="29" fillId="0" borderId="0" xfId="0" applyFont="1" applyAlignment="1">
      <alignment horizontal="center" vertical="center"/>
    </xf>
    <xf numFmtId="0" fontId="142" fillId="0" borderId="0" xfId="1" applyBorder="1" applyAlignment="1" applyProtection="1"/>
    <xf numFmtId="49" fontId="0" fillId="0" borderId="0" xfId="0"/>
    <xf numFmtId="49" fontId="62" fillId="10" borderId="0" xfId="0" applyFont="1" applyFill="1"/>
    <xf numFmtId="49" fontId="0" fillId="0" borderId="0" xfId="0" applyBorder="1" applyAlignment="1">
      <alignment horizontal="left"/>
    </xf>
    <xf numFmtId="0" fontId="142" fillId="0" borderId="30" xfId="1" applyBorder="1" applyAlignment="1" applyProtection="1">
      <alignment horizontal="left" vertical="top" wrapText="1"/>
    </xf>
    <xf numFmtId="0" fontId="142" fillId="0" borderId="0" xfId="1" applyBorder="1" applyAlignment="1" applyProtection="1">
      <alignment vertical="center" wrapText="1"/>
    </xf>
    <xf numFmtId="49" fontId="70" fillId="25" borderId="0" xfId="0" applyFont="1" applyFill="1" applyBorder="1"/>
    <xf numFmtId="49" fontId="23" fillId="2" borderId="84" xfId="0" applyFont="1" applyFill="1" applyBorder="1"/>
    <xf numFmtId="49" fontId="23" fillId="0" borderId="85" xfId="0" applyFont="1" applyBorder="1"/>
    <xf numFmtId="49" fontId="28" fillId="2" borderId="84" xfId="0" applyFont="1" applyFill="1" applyBorder="1" applyAlignment="1">
      <alignment wrapText="1"/>
    </xf>
    <xf numFmtId="49" fontId="0" fillId="0" borderId="85" xfId="0" applyBorder="1" applyAlignment="1"/>
    <xf numFmtId="49" fontId="75" fillId="0" borderId="84" xfId="0" applyFont="1" applyFill="1" applyBorder="1"/>
    <xf numFmtId="0" fontId="62" fillId="0" borderId="85" xfId="1" applyFont="1" applyFill="1" applyBorder="1" applyAlignment="1" applyProtection="1">
      <alignment wrapText="1"/>
    </xf>
    <xf numFmtId="49" fontId="75" fillId="25" borderId="84" xfId="0" applyFont="1" applyFill="1" applyBorder="1"/>
    <xf numFmtId="0" fontId="62" fillId="25" borderId="85" xfId="1" applyFont="1" applyFill="1" applyBorder="1" applyAlignment="1" applyProtection="1">
      <alignment wrapText="1"/>
    </xf>
    <xf numFmtId="49" fontId="70" fillId="25" borderId="84" xfId="0" applyFont="1" applyFill="1" applyBorder="1"/>
    <xf numFmtId="49" fontId="70" fillId="25" borderId="85" xfId="0" applyFont="1" applyFill="1" applyBorder="1"/>
    <xf numFmtId="49" fontId="75" fillId="25" borderId="85" xfId="0" applyFont="1" applyFill="1" applyBorder="1"/>
    <xf numFmtId="49" fontId="23" fillId="25" borderId="84" xfId="0" applyFont="1" applyFill="1" applyBorder="1"/>
    <xf numFmtId="49" fontId="23" fillId="25" borderId="85" xfId="0" applyFont="1" applyFill="1" applyBorder="1"/>
    <xf numFmtId="49" fontId="23" fillId="25" borderId="84" xfId="0" applyFont="1" applyFill="1" applyBorder="1" applyAlignment="1">
      <alignment horizontal="left" vertical="top" indent="2"/>
    </xf>
    <xf numFmtId="49" fontId="23" fillId="25" borderId="85" xfId="0" applyFont="1" applyFill="1" applyBorder="1" applyAlignment="1">
      <alignment horizontal="left" vertical="top" indent="2"/>
    </xf>
    <xf numFmtId="0" fontId="64" fillId="25" borderId="85" xfId="1" applyFont="1" applyFill="1" applyBorder="1" applyAlignment="1" applyProtection="1">
      <alignment horizontal="left" vertical="center" wrapText="1" indent="2"/>
    </xf>
    <xf numFmtId="49" fontId="75" fillId="25" borderId="84" xfId="0" applyFont="1" applyFill="1" applyBorder="1" applyAlignment="1">
      <alignment horizontal="left"/>
    </xf>
    <xf numFmtId="0" fontId="62" fillId="25" borderId="85" xfId="1" applyFont="1" applyFill="1" applyBorder="1" applyAlignment="1" applyProtection="1">
      <alignment horizontal="left" wrapText="1"/>
    </xf>
    <xf numFmtId="49" fontId="70" fillId="25" borderId="84" xfId="0" applyFont="1" applyFill="1" applyBorder="1" applyAlignment="1">
      <alignment horizontal="left"/>
    </xf>
    <xf numFmtId="49" fontId="70" fillId="25" borderId="85" xfId="0" applyFont="1" applyFill="1" applyBorder="1" applyAlignment="1">
      <alignment horizontal="left"/>
    </xf>
    <xf numFmtId="49" fontId="23" fillId="25" borderId="86" xfId="0" applyFont="1" applyFill="1" applyBorder="1"/>
    <xf numFmtId="49" fontId="23" fillId="25" borderId="88" xfId="0" applyFont="1" applyFill="1" applyBorder="1"/>
    <xf numFmtId="9" fontId="12" fillId="0" borderId="19" xfId="0" applyNumberFormat="1" applyFont="1" applyBorder="1"/>
    <xf numFmtId="9" fontId="12" fillId="0" borderId="26" xfId="0" applyNumberFormat="1" applyFont="1" applyBorder="1"/>
    <xf numFmtId="9" fontId="12" fillId="0" borderId="24" xfId="0" applyNumberFormat="1" applyFont="1" applyFill="1" applyBorder="1"/>
    <xf numFmtId="9" fontId="12" fillId="0" borderId="50" xfId="0" applyNumberFormat="1" applyFont="1" applyFill="1" applyBorder="1"/>
    <xf numFmtId="9" fontId="12" fillId="0" borderId="40" xfId="0" applyNumberFormat="1" applyFont="1" applyBorder="1"/>
    <xf numFmtId="9" fontId="12" fillId="0" borderId="24" xfId="0" applyNumberFormat="1" applyFont="1" applyBorder="1"/>
    <xf numFmtId="9" fontId="12" fillId="0" borderId="50" xfId="0" applyNumberFormat="1" applyFont="1" applyBorder="1"/>
    <xf numFmtId="9" fontId="12" fillId="0" borderId="41" xfId="0" applyNumberFormat="1" applyFont="1" applyBorder="1"/>
    <xf numFmtId="49" fontId="12" fillId="0" borderId="20" xfId="0" applyFont="1" applyBorder="1"/>
    <xf numFmtId="49" fontId="12" fillId="0" borderId="22" xfId="0" applyFont="1" applyBorder="1"/>
    <xf numFmtId="9" fontId="12" fillId="0" borderId="22" xfId="0" applyNumberFormat="1" applyFont="1" applyBorder="1"/>
    <xf numFmtId="9" fontId="12" fillId="0" borderId="0" xfId="0" applyNumberFormat="1" applyFont="1"/>
    <xf numFmtId="9" fontId="12" fillId="0" borderId="27" xfId="0" applyNumberFormat="1" applyFont="1" applyBorder="1"/>
    <xf numFmtId="49" fontId="27" fillId="9" borderId="0" xfId="0" applyFont="1" applyFill="1" applyBorder="1" applyAlignment="1"/>
    <xf numFmtId="49" fontId="12" fillId="9" borderId="24" xfId="0" applyFont="1" applyFill="1" applyBorder="1"/>
    <xf numFmtId="0" fontId="12" fillId="9" borderId="0" xfId="0" applyNumberFormat="1" applyFont="1" applyFill="1"/>
    <xf numFmtId="0" fontId="12" fillId="9" borderId="25" xfId="0" applyNumberFormat="1" applyFont="1" applyFill="1" applyBorder="1"/>
    <xf numFmtId="0" fontId="15" fillId="0" borderId="24" xfId="0" applyNumberFormat="1" applyFont="1" applyFill="1" applyBorder="1"/>
    <xf numFmtId="0" fontId="15" fillId="0" borderId="25" xfId="0" applyNumberFormat="1" applyFont="1" applyFill="1" applyBorder="1"/>
    <xf numFmtId="171" fontId="15" fillId="0" borderId="24" xfId="0" applyNumberFormat="1" applyFont="1" applyFill="1" applyBorder="1"/>
    <xf numFmtId="171" fontId="15" fillId="0" borderId="0" xfId="0" applyNumberFormat="1" applyFont="1" applyFill="1"/>
    <xf numFmtId="171" fontId="15" fillId="0" borderId="25" xfId="0" applyNumberFormat="1" applyFont="1" applyFill="1" applyBorder="1"/>
    <xf numFmtId="49" fontId="0" fillId="0" borderId="0" xfId="0"/>
    <xf numFmtId="49" fontId="22" fillId="10" borderId="0" xfId="0" applyFont="1" applyFill="1" applyAlignment="1"/>
    <xf numFmtId="49" fontId="73" fillId="10" borderId="0" xfId="0" applyFont="1" applyFill="1" applyBorder="1" applyAlignment="1">
      <alignment vertical="top" wrapText="1"/>
    </xf>
    <xf numFmtId="49" fontId="143" fillId="10" borderId="0" xfId="0" applyFont="1" applyFill="1" applyBorder="1"/>
    <xf numFmtId="49" fontId="143" fillId="10" borderId="0" xfId="0" applyFont="1" applyFill="1" applyBorder="1" applyAlignment="1">
      <alignment horizontal="left"/>
    </xf>
    <xf numFmtId="0" fontId="143" fillId="10" borderId="0" xfId="1" applyFont="1" applyFill="1" applyBorder="1" applyAlignment="1" applyProtection="1"/>
    <xf numFmtId="49" fontId="22" fillId="10" borderId="0" xfId="0" applyFont="1" applyFill="1" applyBorder="1"/>
    <xf numFmtId="49" fontId="76" fillId="12" borderId="0" xfId="0" applyFont="1" applyFill="1" applyBorder="1" applyAlignment="1">
      <alignment horizontal="center" vertical="center" wrapText="1"/>
    </xf>
    <xf numFmtId="49" fontId="22" fillId="0" borderId="0" xfId="0" applyFont="1" applyBorder="1" applyAlignment="1">
      <alignment horizontal="left"/>
    </xf>
    <xf numFmtId="49" fontId="63" fillId="0" borderId="0" xfId="0" applyFont="1" applyBorder="1" applyAlignment="1">
      <alignment horizontal="left"/>
    </xf>
    <xf numFmtId="49" fontId="63" fillId="0" borderId="0" xfId="0" applyFont="1" applyFill="1" applyBorder="1" applyAlignment="1">
      <alignment horizontal="left"/>
    </xf>
    <xf numFmtId="0" fontId="64" fillId="0" borderId="0" xfId="1" applyFont="1" applyBorder="1" applyAlignment="1" applyProtection="1">
      <alignment horizontal="left"/>
    </xf>
    <xf numFmtId="0" fontId="64" fillId="0" borderId="0" xfId="1" applyFont="1" applyFill="1" applyBorder="1" applyAlignment="1" applyProtection="1">
      <alignment horizontal="left"/>
    </xf>
    <xf numFmtId="49" fontId="143" fillId="0" borderId="0" xfId="0" applyFont="1" applyFill="1" applyBorder="1"/>
    <xf numFmtId="49" fontId="76" fillId="0" borderId="0" xfId="0" applyFont="1" applyFill="1" applyBorder="1"/>
    <xf numFmtId="49" fontId="73" fillId="0" borderId="0" xfId="0" applyFont="1" applyFill="1" applyBorder="1" applyAlignment="1">
      <alignment vertical="top" wrapText="1"/>
    </xf>
    <xf numFmtId="49" fontId="90" fillId="10" borderId="0" xfId="0" applyFont="1" applyFill="1" applyBorder="1" applyAlignment="1">
      <alignment horizontal="left"/>
    </xf>
    <xf numFmtId="49" fontId="63" fillId="10" borderId="0" xfId="0" applyFont="1" applyFill="1" applyBorder="1" applyAlignment="1">
      <alignment horizontal="left"/>
    </xf>
    <xf numFmtId="49" fontId="120" fillId="10" borderId="0" xfId="0" applyNumberFormat="1" applyFont="1" applyFill="1" applyBorder="1" applyAlignment="1">
      <alignment vertical="top" wrapText="1"/>
    </xf>
    <xf numFmtId="49" fontId="211" fillId="0" borderId="0" xfId="0" applyFont="1" applyFill="1" applyBorder="1" applyAlignment="1">
      <alignment horizontal="center" vertical="center" wrapText="1"/>
    </xf>
    <xf numFmtId="49" fontId="93" fillId="0" borderId="0" xfId="0" applyFont="1" applyBorder="1" applyAlignment="1">
      <alignment horizontal="center" vertical="center"/>
    </xf>
    <xf numFmtId="49" fontId="93" fillId="0" borderId="0" xfId="0" applyFont="1" applyAlignment="1">
      <alignment horizontal="center" vertical="center" wrapText="1"/>
    </xf>
    <xf numFmtId="0" fontId="219" fillId="0" borderId="0" xfId="1" applyFont="1" applyBorder="1" applyAlignment="1" applyProtection="1">
      <alignment horizontal="left"/>
    </xf>
    <xf numFmtId="0" fontId="219" fillId="0" borderId="0" xfId="1" applyFont="1" applyBorder="1" applyAlignment="1" applyProtection="1"/>
    <xf numFmtId="0" fontId="219" fillId="0" borderId="0" xfId="1" applyFont="1" applyAlignment="1" applyProtection="1"/>
    <xf numFmtId="49" fontId="119" fillId="0" borderId="0" xfId="0" applyFont="1" applyFill="1" applyBorder="1"/>
    <xf numFmtId="49" fontId="91" fillId="0" borderId="0" xfId="0" applyFont="1" applyFill="1" applyAlignment="1"/>
    <xf numFmtId="49" fontId="220" fillId="0" borderId="0" xfId="0" applyFont="1" applyBorder="1"/>
    <xf numFmtId="49" fontId="212" fillId="0" borderId="0" xfId="0" applyFont="1" applyFill="1"/>
    <xf numFmtId="49" fontId="186" fillId="25" borderId="0" xfId="0" applyFont="1" applyFill="1" applyBorder="1"/>
    <xf numFmtId="49" fontId="29" fillId="25" borderId="0" xfId="0" applyFont="1" applyFill="1" applyBorder="1" applyAlignment="1">
      <alignment horizontal="left" vertical="top" indent="2"/>
    </xf>
    <xf numFmtId="49" fontId="29" fillId="25" borderId="0" xfId="0" applyFont="1" applyFill="1" applyBorder="1"/>
    <xf numFmtId="49" fontId="29" fillId="25" borderId="87" xfId="0" applyFont="1" applyFill="1" applyBorder="1"/>
    <xf numFmtId="165" fontId="3" fillId="2" borderId="0" xfId="0" applyNumberFormat="1" applyFont="1" applyFill="1" applyBorder="1"/>
    <xf numFmtId="49" fontId="85" fillId="0" borderId="0" xfId="0" applyFont="1" applyFill="1" applyAlignment="1">
      <alignment vertical="center"/>
    </xf>
    <xf numFmtId="49" fontId="85" fillId="0" borderId="0" xfId="0" applyFont="1" applyFill="1" applyAlignment="1">
      <alignment horizontal="left" vertical="center"/>
    </xf>
    <xf numFmtId="49" fontId="32" fillId="0" borderId="10" xfId="0" applyFont="1" applyBorder="1"/>
    <xf numFmtId="49" fontId="123" fillId="0" borderId="0" xfId="0" applyFont="1" applyBorder="1"/>
    <xf numFmtId="49" fontId="80" fillId="2" borderId="0" xfId="0" applyFont="1" applyFill="1" applyBorder="1" applyAlignment="1">
      <alignment horizontal="center" vertical="center"/>
    </xf>
    <xf numFmtId="0" fontId="96" fillId="0" borderId="0" xfId="1" applyFont="1" applyFill="1" applyAlignment="1" applyProtection="1">
      <alignment horizontal="left" vertical="center"/>
    </xf>
    <xf numFmtId="49" fontId="221" fillId="0" borderId="0" xfId="0" applyFont="1"/>
    <xf numFmtId="49" fontId="3" fillId="10" borderId="0" xfId="0" applyFont="1" applyFill="1" applyBorder="1"/>
    <xf numFmtId="49" fontId="44" fillId="10" borderId="0" xfId="0" applyFont="1" applyFill="1" applyBorder="1"/>
    <xf numFmtId="49" fontId="5" fillId="10" borderId="0" xfId="0" applyFont="1" applyFill="1" applyBorder="1"/>
    <xf numFmtId="49" fontId="1" fillId="10" borderId="0" xfId="0" applyFont="1" applyFill="1" applyBorder="1"/>
    <xf numFmtId="9" fontId="1" fillId="10" borderId="0" xfId="0" applyNumberFormat="1" applyFont="1" applyFill="1" applyBorder="1"/>
    <xf numFmtId="49" fontId="5" fillId="10" borderId="0" xfId="0" applyFont="1" applyFill="1"/>
    <xf numFmtId="49" fontId="1" fillId="10" borderId="0" xfId="0" applyFont="1" applyFill="1"/>
    <xf numFmtId="9" fontId="3" fillId="10" borderId="0" xfId="0" applyNumberFormat="1" applyFont="1" applyFill="1" applyBorder="1"/>
    <xf numFmtId="49" fontId="142" fillId="2" borderId="0" xfId="1" applyNumberFormat="1" applyFill="1" applyBorder="1" applyAlignment="1" applyProtection="1"/>
    <xf numFmtId="49" fontId="126" fillId="0" borderId="0" xfId="0" applyFont="1" applyFill="1" applyBorder="1" applyAlignment="1">
      <alignment vertical="top"/>
    </xf>
    <xf numFmtId="49" fontId="122" fillId="0" borderId="0" xfId="0" applyFont="1" applyFill="1" applyBorder="1"/>
    <xf numFmtId="49" fontId="225" fillId="10" borderId="0" xfId="0" applyFont="1" applyFill="1" applyAlignment="1">
      <alignment vertical="center"/>
    </xf>
    <xf numFmtId="49" fontId="0" fillId="0" borderId="0" xfId="0"/>
    <xf numFmtId="49" fontId="226" fillId="25" borderId="0" xfId="0" applyFont="1" applyFill="1"/>
    <xf numFmtId="10" fontId="226" fillId="25" borderId="0" xfId="4" applyNumberFormat="1" applyFont="1" applyFill="1"/>
    <xf numFmtId="49" fontId="186" fillId="10" borderId="0" xfId="0" applyFont="1" applyFill="1"/>
    <xf numFmtId="49" fontId="167" fillId="10" borderId="0" xfId="0" applyFont="1" applyFill="1" applyAlignment="1">
      <alignment vertical="top"/>
    </xf>
    <xf numFmtId="0" fontId="74" fillId="10" borderId="0" xfId="1" applyFont="1" applyFill="1" applyAlignment="1" applyProtection="1">
      <alignment vertical="center"/>
    </xf>
    <xf numFmtId="0" fontId="227" fillId="10" borderId="0" xfId="1" applyFont="1" applyFill="1" applyAlignment="1" applyProtection="1">
      <alignment vertical="center"/>
    </xf>
    <xf numFmtId="0" fontId="115" fillId="10" borderId="0" xfId="1" applyFont="1" applyFill="1" applyAlignment="1" applyProtection="1">
      <alignment vertical="center"/>
    </xf>
    <xf numFmtId="0" fontId="227" fillId="10" borderId="0" xfId="1" applyFont="1" applyFill="1" applyAlignment="1" applyProtection="1">
      <alignment horizontal="right" vertical="center"/>
    </xf>
    <xf numFmtId="49" fontId="105" fillId="2" borderId="0" xfId="0" applyFont="1" applyFill="1"/>
    <xf numFmtId="49" fontId="77" fillId="2" borderId="0" xfId="0" applyFont="1" applyFill="1"/>
    <xf numFmtId="49" fontId="14" fillId="0" borderId="0" xfId="0" applyFont="1" applyBorder="1" applyAlignment="1" applyProtection="1">
      <protection locked="0"/>
    </xf>
    <xf numFmtId="49" fontId="229" fillId="10" borderId="0" xfId="1" applyNumberFormat="1" applyFont="1" applyFill="1" applyBorder="1" applyAlignment="1" applyProtection="1">
      <alignment horizontal="center" vertical="center" wrapText="1"/>
    </xf>
    <xf numFmtId="0" fontId="230" fillId="0" borderId="0" xfId="1" applyFont="1" applyBorder="1" applyAlignment="1" applyProtection="1">
      <alignment horizontal="left"/>
    </xf>
    <xf numFmtId="0" fontId="230" fillId="0" borderId="0" xfId="1" applyFont="1" applyBorder="1" applyAlignment="1" applyProtection="1"/>
    <xf numFmtId="49" fontId="219" fillId="0" borderId="0" xfId="1" applyNumberFormat="1" applyFont="1" applyBorder="1" applyAlignment="1" applyProtection="1"/>
    <xf numFmtId="49" fontId="231" fillId="2" borderId="0" xfId="0" applyFont="1" applyFill="1" applyBorder="1" applyAlignment="1">
      <alignment vertical="top" wrapText="1"/>
    </xf>
    <xf numFmtId="49" fontId="23" fillId="2" borderId="0" xfId="0" applyFont="1" applyFill="1" applyBorder="1" applyAlignment="1">
      <alignment vertical="top" wrapText="1"/>
    </xf>
    <xf numFmtId="49" fontId="0" fillId="2" borderId="0" xfId="0" applyFill="1" applyBorder="1"/>
    <xf numFmtId="49" fontId="0" fillId="10" borderId="0" xfId="0" applyFill="1" applyBorder="1"/>
    <xf numFmtId="49" fontId="62" fillId="2" borderId="0" xfId="0" applyFont="1" applyFill="1" applyBorder="1" applyAlignment="1">
      <alignment horizontal="center" vertical="center" wrapText="1"/>
    </xf>
    <xf numFmtId="49" fontId="114" fillId="2" borderId="0" xfId="0" applyFont="1" applyFill="1" applyAlignment="1">
      <alignment horizontal="center"/>
    </xf>
    <xf numFmtId="9" fontId="166" fillId="16" borderId="0" xfId="0" applyNumberFormat="1" applyFont="1" applyFill="1" applyAlignment="1">
      <alignment horizontal="left" vertical="center"/>
    </xf>
    <xf numFmtId="49" fontId="22" fillId="2" borderId="1" xfId="0" applyFont="1" applyFill="1" applyBorder="1"/>
    <xf numFmtId="3" fontId="22" fillId="17" borderId="1" xfId="0" applyNumberFormat="1" applyFont="1" applyFill="1" applyBorder="1"/>
    <xf numFmtId="49" fontId="22" fillId="17" borderId="1" xfId="0" applyNumberFormat="1" applyFont="1" applyFill="1" applyBorder="1"/>
    <xf numFmtId="1" fontId="163" fillId="3" borderId="1" xfId="0" applyNumberFormat="1" applyFont="1" applyFill="1" applyBorder="1" applyAlignment="1" applyProtection="1">
      <alignment horizontal="center" vertical="center" wrapText="1" readingOrder="1"/>
      <protection locked="0"/>
    </xf>
    <xf numFmtId="49" fontId="25" fillId="28" borderId="0" xfId="0" applyFont="1" applyFill="1" applyAlignment="1">
      <alignment horizontal="left" vertical="top"/>
    </xf>
    <xf numFmtId="49" fontId="44" fillId="28" borderId="0" xfId="0" applyFont="1" applyFill="1"/>
    <xf numFmtId="49" fontId="162" fillId="28" borderId="0" xfId="0" applyFont="1" applyFill="1" applyAlignment="1">
      <alignment horizontal="left" vertical="top"/>
    </xf>
    <xf numFmtId="0" fontId="0" fillId="0" borderId="89" xfId="0" applyNumberFormat="1" applyFont="1" applyBorder="1" applyAlignment="1"/>
    <xf numFmtId="0" fontId="0" fillId="0" borderId="0" xfId="0" applyNumberFormat="1" applyFont="1" applyBorder="1" applyAlignment="1"/>
    <xf numFmtId="0" fontId="14" fillId="0" borderId="61" xfId="0" applyNumberFormat="1" applyFont="1" applyBorder="1" applyAlignment="1" applyProtection="1">
      <protection locked="0"/>
    </xf>
    <xf numFmtId="49" fontId="0" fillId="0" borderId="34" xfId="0" applyBorder="1" applyAlignment="1"/>
    <xf numFmtId="49" fontId="0" fillId="0" borderId="90" xfId="0" applyBorder="1" applyAlignment="1"/>
    <xf numFmtId="2" fontId="14" fillId="0" borderId="34" xfId="0" applyNumberFormat="1" applyFont="1" applyBorder="1" applyAlignment="1" applyProtection="1">
      <protection locked="0"/>
    </xf>
    <xf numFmtId="2" fontId="14" fillId="0" borderId="90" xfId="0" applyNumberFormat="1" applyFont="1" applyBorder="1" applyAlignment="1" applyProtection="1">
      <protection locked="0"/>
    </xf>
    <xf numFmtId="0" fontId="0" fillId="0" borderId="34" xfId="0" applyNumberFormat="1" applyBorder="1" applyAlignment="1"/>
    <xf numFmtId="0" fontId="0" fillId="0" borderId="62" xfId="0" applyNumberFormat="1" applyBorder="1" applyAlignment="1"/>
    <xf numFmtId="0" fontId="14" fillId="0" borderId="91" xfId="0" applyNumberFormat="1" applyFont="1" applyBorder="1" applyAlignment="1" applyProtection="1">
      <protection locked="0"/>
    </xf>
    <xf numFmtId="0" fontId="0" fillId="0" borderId="51" xfId="0" applyNumberFormat="1" applyBorder="1" applyAlignment="1"/>
    <xf numFmtId="0" fontId="0" fillId="0" borderId="92" xfId="0" applyNumberFormat="1" applyBorder="1" applyAlignment="1"/>
    <xf numFmtId="0" fontId="0" fillId="0" borderId="34" xfId="0" applyNumberFormat="1" applyFont="1" applyBorder="1" applyAlignment="1"/>
    <xf numFmtId="0" fontId="0" fillId="0" borderId="62" xfId="0" applyNumberFormat="1" applyFont="1" applyBorder="1" applyAlignment="1"/>
    <xf numFmtId="0" fontId="0" fillId="0" borderId="51" xfId="0" applyNumberFormat="1" applyFont="1" applyBorder="1" applyAlignment="1"/>
    <xf numFmtId="0" fontId="0" fillId="0" borderId="92" xfId="0" applyNumberFormat="1" applyFont="1" applyBorder="1" applyAlignment="1"/>
    <xf numFmtId="49" fontId="0" fillId="10" borderId="0" xfId="0" applyFill="1" applyAlignment="1">
      <alignment vertical="top"/>
    </xf>
    <xf numFmtId="49" fontId="0" fillId="0" borderId="0" xfId="0" applyAlignment="1">
      <alignment vertical="top"/>
    </xf>
    <xf numFmtId="49" fontId="232" fillId="0" borderId="0" xfId="0" applyFont="1" applyBorder="1" applyAlignment="1">
      <alignment vertical="top" wrapText="1"/>
    </xf>
    <xf numFmtId="49" fontId="232" fillId="2" borderId="0" xfId="0" applyFont="1" applyFill="1" applyBorder="1" applyAlignment="1">
      <alignment vertical="top" wrapText="1"/>
    </xf>
    <xf numFmtId="49" fontId="179" fillId="10" borderId="1" xfId="0" applyFont="1" applyFill="1" applyBorder="1" applyAlignment="1">
      <alignment horizontal="center" vertical="center" wrapText="1"/>
    </xf>
    <xf numFmtId="49" fontId="68" fillId="2" borderId="0" xfId="0" applyFont="1" applyFill="1" applyAlignment="1">
      <alignment horizontal="center" vertical="center"/>
    </xf>
    <xf numFmtId="49" fontId="184" fillId="2" borderId="0" xfId="0" applyFont="1" applyFill="1" applyAlignment="1">
      <alignment horizontal="center" vertical="center"/>
    </xf>
    <xf numFmtId="49" fontId="13" fillId="0" borderId="0" xfId="0" pivotButton="1" applyFont="1"/>
    <xf numFmtId="49" fontId="13" fillId="0" borderId="0" xfId="0" applyFont="1" applyAlignment="1">
      <alignment horizontal="left"/>
    </xf>
    <xf numFmtId="49" fontId="13" fillId="0" borderId="0" xfId="0" applyNumberFormat="1" applyFont="1"/>
    <xf numFmtId="49" fontId="48" fillId="0" borderId="0" xfId="0" applyFont="1"/>
    <xf numFmtId="0" fontId="236" fillId="2" borderId="0" xfId="1" applyNumberFormat="1" applyFont="1" applyFill="1" applyBorder="1" applyAlignment="1" applyProtection="1"/>
    <xf numFmtId="49" fontId="236" fillId="2" borderId="0" xfId="1" applyNumberFormat="1" applyFont="1" applyFill="1" applyBorder="1" applyAlignment="1" applyProtection="1"/>
    <xf numFmtId="0" fontId="236" fillId="0" borderId="0" xfId="1" applyNumberFormat="1" applyFont="1" applyFill="1" applyBorder="1" applyAlignment="1" applyProtection="1"/>
    <xf numFmtId="49" fontId="236" fillId="0" borderId="0" xfId="1" applyNumberFormat="1" applyFont="1" applyFill="1" applyBorder="1" applyAlignment="1" applyProtection="1"/>
    <xf numFmtId="49" fontId="48" fillId="0" borderId="0" xfId="0" applyFont="1" applyFill="1" applyBorder="1"/>
    <xf numFmtId="49" fontId="48" fillId="0" borderId="0" xfId="0" applyFont="1" applyBorder="1"/>
    <xf numFmtId="49" fontId="134" fillId="2" borderId="0" xfId="0" applyFont="1" applyFill="1" applyBorder="1" applyAlignment="1">
      <alignment vertical="top" wrapText="1"/>
    </xf>
    <xf numFmtId="49" fontId="48" fillId="2" borderId="0" xfId="0" applyFont="1" applyFill="1" applyBorder="1" applyAlignment="1">
      <alignment vertical="top" wrapText="1"/>
    </xf>
    <xf numFmtId="0" fontId="48" fillId="2" borderId="0" xfId="0" applyNumberFormat="1" applyFont="1" applyFill="1" applyBorder="1"/>
    <xf numFmtId="49" fontId="48" fillId="2" borderId="0" xfId="0" applyFont="1" applyFill="1" applyBorder="1" applyAlignment="1">
      <alignment vertical="top" wrapText="1"/>
    </xf>
    <xf numFmtId="0" fontId="0" fillId="2" borderId="0" xfId="0" applyNumberFormat="1" applyFill="1" applyBorder="1"/>
    <xf numFmtId="0" fontId="48" fillId="0" borderId="0" xfId="0" applyNumberFormat="1" applyFont="1" applyBorder="1"/>
    <xf numFmtId="0" fontId="0" fillId="0" borderId="0" xfId="0" applyNumberFormat="1" applyBorder="1"/>
    <xf numFmtId="49" fontId="114" fillId="0" borderId="0" xfId="0" applyFont="1" applyBorder="1" applyAlignment="1">
      <alignment horizontal="center"/>
    </xf>
    <xf numFmtId="49" fontId="114" fillId="2" borderId="0" xfId="0" applyFont="1" applyFill="1" applyBorder="1" applyAlignment="1">
      <alignment horizontal="center"/>
    </xf>
    <xf numFmtId="49" fontId="0" fillId="2" borderId="0" xfId="0" applyFill="1" applyBorder="1" applyAlignment="1">
      <alignment vertical="top"/>
    </xf>
    <xf numFmtId="49" fontId="128" fillId="2" borderId="0" xfId="0" applyFont="1" applyFill="1" applyBorder="1"/>
    <xf numFmtId="49" fontId="0" fillId="0" borderId="0" xfId="0" applyBorder="1" applyAlignment="1">
      <alignment wrapText="1"/>
    </xf>
    <xf numFmtId="49" fontId="0" fillId="0" borderId="0" xfId="0" applyBorder="1" applyAlignment="1">
      <alignment vertical="top"/>
    </xf>
    <xf numFmtId="49" fontId="114" fillId="0" borderId="0" xfId="0" applyFont="1" applyBorder="1" applyAlignment="1">
      <alignment horizontal="center" wrapText="1"/>
    </xf>
    <xf numFmtId="49" fontId="116" fillId="0" borderId="0" xfId="0" applyFont="1" applyBorder="1" applyAlignment="1">
      <alignment horizontal="center" wrapText="1"/>
    </xf>
    <xf numFmtId="49" fontId="114" fillId="0" borderId="0" xfId="0" applyFont="1" applyBorder="1" applyAlignment="1">
      <alignment horizontal="left"/>
    </xf>
    <xf numFmtId="49" fontId="114" fillId="0" borderId="0" xfId="0" applyFont="1" applyBorder="1" applyAlignment="1">
      <alignment horizontal="left" vertical="top"/>
    </xf>
    <xf numFmtId="49" fontId="114" fillId="2" borderId="0" xfId="0" applyFont="1" applyFill="1" applyBorder="1" applyAlignment="1">
      <alignment horizontal="center" vertical="top"/>
    </xf>
    <xf numFmtId="49" fontId="233" fillId="2" borderId="0" xfId="0" applyFont="1" applyFill="1" applyBorder="1" applyAlignment="1">
      <alignment horizontal="center" wrapText="1"/>
    </xf>
    <xf numFmtId="49" fontId="114" fillId="2" borderId="0" xfId="0" applyFont="1" applyFill="1" applyBorder="1" applyAlignment="1">
      <alignment horizontal="center" wrapText="1"/>
    </xf>
    <xf numFmtId="49" fontId="116" fillId="2" borderId="0" xfId="0" applyFont="1" applyFill="1" applyBorder="1" applyAlignment="1">
      <alignment horizontal="center" wrapText="1"/>
    </xf>
    <xf numFmtId="49" fontId="118" fillId="0" borderId="0" xfId="0" applyFont="1" applyBorder="1" applyAlignment="1">
      <alignment horizontal="center" vertical="center" wrapText="1"/>
    </xf>
    <xf numFmtId="49" fontId="0" fillId="2" borderId="0" xfId="0" applyFill="1" applyBorder="1" applyAlignment="1">
      <alignment horizontal="center" vertical="center"/>
    </xf>
    <xf numFmtId="49" fontId="21" fillId="2" borderId="0" xfId="0" applyFont="1" applyFill="1" applyBorder="1" applyAlignment="1">
      <alignment horizontal="center" vertical="center" wrapText="1"/>
    </xf>
    <xf numFmtId="49" fontId="0" fillId="2" borderId="0" xfId="0" quotePrefix="1" applyFill="1" applyBorder="1" applyAlignment="1">
      <alignment horizontal="center" vertical="center"/>
    </xf>
    <xf numFmtId="49" fontId="21" fillId="0" borderId="0" xfId="0" applyFont="1" applyBorder="1" applyAlignment="1">
      <alignment horizontal="center" vertical="center" wrapText="1"/>
    </xf>
    <xf numFmtId="49" fontId="0" fillId="0" borderId="0" xfId="0" applyFill="1" applyBorder="1" applyAlignment="1">
      <alignment horizontal="center" vertical="center"/>
    </xf>
    <xf numFmtId="0" fontId="117" fillId="2" borderId="0" xfId="1" applyFont="1" applyFill="1" applyBorder="1" applyAlignment="1" applyProtection="1">
      <alignment horizontal="center" vertical="center" wrapText="1"/>
    </xf>
    <xf numFmtId="0" fontId="235" fillId="2" borderId="0" xfId="1" applyFont="1" applyFill="1" applyBorder="1" applyAlignment="1" applyProtection="1">
      <alignment horizontal="center" vertical="center" wrapText="1"/>
    </xf>
    <xf numFmtId="0" fontId="117" fillId="0" borderId="0" xfId="1" applyFont="1" applyBorder="1" applyAlignment="1" applyProtection="1">
      <alignment horizontal="center" vertical="center" wrapText="1"/>
    </xf>
    <xf numFmtId="49" fontId="231" fillId="2" borderId="0" xfId="0" applyFont="1" applyFill="1" applyBorder="1" applyAlignment="1">
      <alignment vertical="top" wrapText="1"/>
    </xf>
    <xf numFmtId="49" fontId="113" fillId="0" borderId="0" xfId="0" applyFont="1" applyBorder="1" applyAlignment="1">
      <alignment horizontal="center" wrapText="1"/>
    </xf>
    <xf numFmtId="49" fontId="113" fillId="0" borderId="0" xfId="0" applyFont="1" applyFill="1" applyBorder="1" applyAlignment="1">
      <alignment horizontal="center"/>
    </xf>
    <xf numFmtId="49" fontId="1" fillId="0" borderId="0" xfId="0" applyFont="1" applyBorder="1" applyAlignment="1">
      <alignment wrapText="1"/>
    </xf>
    <xf numFmtId="49" fontId="48" fillId="2" borderId="0" xfId="0" applyFont="1" applyFill="1" applyBorder="1" applyAlignment="1">
      <alignment vertical="top"/>
    </xf>
    <xf numFmtId="49" fontId="238" fillId="2" borderId="0" xfId="0" applyFont="1" applyFill="1" applyBorder="1" applyAlignment="1">
      <alignment horizontal="left" vertical="top" wrapText="1"/>
    </xf>
    <xf numFmtId="49" fontId="239" fillId="0" borderId="0" xfId="0" applyFont="1" applyFill="1" applyBorder="1" applyAlignment="1">
      <alignment horizontal="left" vertical="top" wrapText="1"/>
    </xf>
    <xf numFmtId="49" fontId="238" fillId="2" borderId="0" xfId="0" applyFont="1" applyFill="1" applyBorder="1" applyAlignment="1">
      <alignment vertical="top" wrapText="1"/>
    </xf>
    <xf numFmtId="49" fontId="239" fillId="2" borderId="0" xfId="0" applyFont="1" applyFill="1" applyBorder="1" applyAlignment="1">
      <alignment horizontal="left" vertical="top" wrapText="1"/>
    </xf>
    <xf numFmtId="49" fontId="57" fillId="2" borderId="0" xfId="0" applyFont="1" applyFill="1" applyBorder="1" applyAlignment="1">
      <alignment vertical="top" wrapText="1"/>
    </xf>
    <xf numFmtId="49" fontId="140" fillId="0" borderId="0" xfId="0" applyFont="1" applyBorder="1" applyAlignment="1">
      <alignment wrapText="1"/>
    </xf>
    <xf numFmtId="0" fontId="240" fillId="0" borderId="0" xfId="0" applyNumberFormat="1" applyFont="1" applyBorder="1" applyAlignment="1">
      <alignment horizontal="center"/>
    </xf>
    <xf numFmtId="49" fontId="241" fillId="0" borderId="0" xfId="0" applyFont="1" applyBorder="1"/>
    <xf numFmtId="49" fontId="0" fillId="29" borderId="93" xfId="0" applyFill="1" applyBorder="1"/>
    <xf numFmtId="49" fontId="0" fillId="29" borderId="94" xfId="0" applyFill="1" applyBorder="1"/>
    <xf numFmtId="49" fontId="0" fillId="29" borderId="95" xfId="0" applyFill="1" applyBorder="1"/>
    <xf numFmtId="49" fontId="48" fillId="29" borderId="93" xfId="0" applyFont="1" applyFill="1" applyBorder="1"/>
    <xf numFmtId="49" fontId="48" fillId="29" borderId="94" xfId="0" applyFont="1" applyFill="1" applyBorder="1"/>
    <xf numFmtId="49" fontId="48" fillId="29" borderId="95" xfId="0" applyFont="1" applyFill="1" applyBorder="1"/>
    <xf numFmtId="49" fontId="133" fillId="29" borderId="49" xfId="0" applyFont="1" applyFill="1" applyBorder="1" applyAlignment="1">
      <alignment horizontal="left" vertical="top" wrapText="1" readingOrder="1"/>
    </xf>
    <xf numFmtId="49" fontId="133" fillId="29" borderId="49" xfId="0" applyFont="1" applyFill="1" applyBorder="1" applyAlignment="1">
      <alignment vertical="top" wrapText="1"/>
    </xf>
    <xf numFmtId="49" fontId="48" fillId="29" borderId="49" xfId="0" applyFont="1" applyFill="1" applyBorder="1"/>
    <xf numFmtId="49" fontId="140" fillId="29" borderId="49" xfId="0" applyFont="1" applyFill="1" applyBorder="1" applyAlignment="1">
      <alignment wrapText="1"/>
    </xf>
    <xf numFmtId="49" fontId="237" fillId="29" borderId="49" xfId="0" applyFont="1" applyFill="1" applyBorder="1" applyAlignment="1">
      <alignment wrapText="1"/>
    </xf>
    <xf numFmtId="49" fontId="206" fillId="29" borderId="49" xfId="0" applyFont="1" applyFill="1" applyBorder="1" applyAlignment="1">
      <alignment wrapText="1"/>
    </xf>
    <xf numFmtId="49" fontId="0" fillId="29" borderId="49" xfId="0" applyFill="1" applyBorder="1"/>
    <xf numFmtId="49" fontId="234" fillId="29" borderId="49" xfId="0" applyFont="1" applyFill="1" applyBorder="1" applyAlignment="1">
      <alignment horizontal="left" vertical="top" wrapText="1"/>
    </xf>
    <xf numFmtId="49" fontId="206" fillId="29" borderId="49" xfId="0" applyFont="1" applyFill="1" applyBorder="1" applyAlignment="1">
      <alignment horizontal="left" vertical="top" wrapText="1"/>
    </xf>
    <xf numFmtId="49" fontId="21" fillId="0" borderId="0" xfId="0" applyFont="1" applyFill="1" applyBorder="1" applyAlignment="1">
      <alignment horizontal="center" vertical="center" wrapText="1"/>
    </xf>
    <xf numFmtId="0" fontId="117" fillId="0" borderId="0" xfId="1" applyFont="1" applyFill="1" applyBorder="1" applyAlignment="1" applyProtection="1">
      <alignment horizontal="center" vertical="center" wrapText="1"/>
    </xf>
    <xf numFmtId="0" fontId="48" fillId="0" borderId="0" xfId="0" applyNumberFormat="1" applyFont="1" applyFill="1" applyBorder="1"/>
    <xf numFmtId="49" fontId="48" fillId="0" borderId="0" xfId="0" applyFont="1" applyFill="1"/>
    <xf numFmtId="49" fontId="242" fillId="0" borderId="0" xfId="0" applyFont="1"/>
    <xf numFmtId="0" fontId="227" fillId="10" borderId="0" xfId="1" applyFont="1" applyFill="1" applyAlignment="1" applyProtection="1">
      <alignment horizontal="left" vertical="center"/>
    </xf>
    <xf numFmtId="0" fontId="228" fillId="10" borderId="0" xfId="1" applyFont="1" applyFill="1" applyAlignment="1" applyProtection="1">
      <alignment horizontal="center" vertical="center"/>
    </xf>
    <xf numFmtId="0" fontId="142" fillId="0" borderId="0" xfId="1" applyBorder="1" applyAlignment="1" applyProtection="1">
      <alignment horizontal="left" vertical="center"/>
    </xf>
    <xf numFmtId="49" fontId="63" fillId="0" borderId="52" xfId="0" applyNumberFormat="1" applyFont="1" applyBorder="1" applyAlignment="1">
      <alignment horizontal="left" vertical="top" wrapText="1"/>
    </xf>
    <xf numFmtId="49" fontId="63" fillId="0" borderId="47" xfId="0" applyNumberFormat="1" applyFont="1" applyBorder="1" applyAlignment="1">
      <alignment horizontal="left" vertical="top" wrapText="1"/>
    </xf>
    <xf numFmtId="49" fontId="68" fillId="20" borderId="0" xfId="0" applyFont="1" applyFill="1" applyBorder="1" applyAlignment="1">
      <alignment horizontal="center" vertical="center" wrapText="1"/>
    </xf>
    <xf numFmtId="0" fontId="76" fillId="25" borderId="0" xfId="1" applyFont="1" applyFill="1" applyBorder="1" applyAlignment="1" applyProtection="1">
      <alignment horizontal="left" vertical="top" wrapText="1"/>
    </xf>
    <xf numFmtId="0" fontId="142" fillId="0" borderId="0" xfId="1" applyBorder="1" applyAlignment="1" applyProtection="1">
      <alignment horizontal="left" vertical="top" wrapText="1"/>
    </xf>
    <xf numFmtId="49" fontId="213" fillId="20" borderId="0" xfId="0" applyFont="1" applyFill="1" applyBorder="1" applyAlignment="1">
      <alignment horizontal="center" vertical="top" wrapText="1"/>
    </xf>
    <xf numFmtId="49" fontId="63" fillId="0" borderId="42" xfId="0" applyNumberFormat="1" applyFont="1" applyBorder="1" applyAlignment="1">
      <alignment horizontal="left" vertical="top" wrapText="1"/>
    </xf>
    <xf numFmtId="0" fontId="227" fillId="10" borderId="0" xfId="1" applyFont="1" applyFill="1" applyAlignment="1" applyProtection="1">
      <alignment horizontal="center" vertical="center"/>
    </xf>
    <xf numFmtId="0" fontId="76" fillId="25" borderId="0" xfId="1" applyFont="1" applyFill="1" applyBorder="1" applyAlignment="1" applyProtection="1">
      <alignment horizontal="left" wrapText="1"/>
    </xf>
    <xf numFmtId="49" fontId="63" fillId="0" borderId="29" xfId="0" applyFont="1" applyBorder="1" applyAlignment="1">
      <alignment vertical="top" wrapText="1"/>
    </xf>
    <xf numFmtId="49" fontId="63" fillId="0" borderId="0" xfId="0" applyFont="1" applyBorder="1" applyAlignment="1">
      <alignment vertical="top" wrapText="1"/>
    </xf>
    <xf numFmtId="49" fontId="63" fillId="0" borderId="30" xfId="0" applyFont="1" applyBorder="1" applyAlignment="1">
      <alignment vertical="top" wrapText="1"/>
    </xf>
    <xf numFmtId="49" fontId="22" fillId="0" borderId="29" xfId="0" applyFont="1" applyBorder="1" applyAlignment="1">
      <alignment vertical="top" wrapText="1"/>
    </xf>
    <xf numFmtId="49" fontId="22" fillId="0" borderId="0" xfId="0" applyFont="1" applyBorder="1" applyAlignment="1">
      <alignment vertical="top" wrapText="1"/>
    </xf>
    <xf numFmtId="49" fontId="22" fillId="0" borderId="30" xfId="0" applyFont="1" applyBorder="1" applyAlignment="1">
      <alignment vertical="top" wrapText="1"/>
    </xf>
    <xf numFmtId="49" fontId="22" fillId="0" borderId="56" xfId="0" applyFont="1" applyBorder="1" applyAlignment="1">
      <alignment vertical="top" wrapText="1"/>
    </xf>
    <xf numFmtId="49" fontId="22" fillId="0" borderId="57" xfId="0" applyFont="1" applyBorder="1" applyAlignment="1">
      <alignment vertical="top" wrapText="1"/>
    </xf>
    <xf numFmtId="49" fontId="62" fillId="10" borderId="53" xfId="0" applyFont="1" applyFill="1" applyBorder="1" applyAlignment="1">
      <alignment horizontal="center" vertical="center" wrapText="1"/>
    </xf>
    <xf numFmtId="49" fontId="62" fillId="10" borderId="54" xfId="0" applyFont="1" applyFill="1" applyBorder="1" applyAlignment="1">
      <alignment horizontal="center" vertical="center" wrapText="1"/>
    </xf>
    <xf numFmtId="49" fontId="62" fillId="10" borderId="55" xfId="0" applyFont="1" applyFill="1" applyBorder="1" applyAlignment="1">
      <alignment horizontal="center" vertical="center" wrapText="1"/>
    </xf>
    <xf numFmtId="49" fontId="76" fillId="10" borderId="29" xfId="0" applyFont="1" applyFill="1" applyBorder="1" applyAlignment="1">
      <alignment horizontal="center" vertical="center" wrapText="1"/>
    </xf>
    <xf numFmtId="49" fontId="76" fillId="10" borderId="0" xfId="0" applyFont="1" applyFill="1" applyBorder="1" applyAlignment="1">
      <alignment horizontal="center" vertical="center" wrapText="1"/>
    </xf>
    <xf numFmtId="49" fontId="76" fillId="10" borderId="30" xfId="0" applyFont="1" applyFill="1" applyBorder="1" applyAlignment="1">
      <alignment horizontal="center" vertical="center" wrapText="1"/>
    </xf>
    <xf numFmtId="49" fontId="62" fillId="10" borderId="29" xfId="0" applyFont="1" applyFill="1" applyBorder="1" applyAlignment="1">
      <alignment vertical="center" wrapText="1"/>
    </xf>
    <xf numFmtId="49" fontId="62" fillId="10" borderId="0" xfId="0" applyFont="1" applyFill="1" applyBorder="1" applyAlignment="1">
      <alignment vertical="center" wrapText="1"/>
    </xf>
    <xf numFmtId="49" fontId="62" fillId="10" borderId="30" xfId="0" applyFont="1" applyFill="1" applyBorder="1" applyAlignment="1">
      <alignment vertical="center" wrapText="1"/>
    </xf>
    <xf numFmtId="49" fontId="90" fillId="0" borderId="29" xfId="0" applyFont="1" applyBorder="1" applyAlignment="1">
      <alignment horizontal="left" vertical="center" wrapText="1" indent="2"/>
    </xf>
    <xf numFmtId="49" fontId="91" fillId="0" borderId="0" xfId="0" applyFont="1" applyBorder="1" applyAlignment="1">
      <alignment horizontal="left" vertical="center" wrapText="1" indent="2"/>
    </xf>
    <xf numFmtId="49" fontId="91" fillId="0" borderId="30" xfId="0" applyFont="1" applyBorder="1" applyAlignment="1">
      <alignment horizontal="left" vertical="center" wrapText="1" indent="2"/>
    </xf>
    <xf numFmtId="49" fontId="63" fillId="0" borderId="29" xfId="0" applyFont="1" applyBorder="1" applyAlignment="1">
      <alignment horizontal="left" vertical="center" wrapText="1" indent="2"/>
    </xf>
    <xf numFmtId="49" fontId="130" fillId="0" borderId="0" xfId="0" applyFont="1" applyAlignment="1">
      <alignment horizontal="left" vertical="center" wrapText="1" indent="2"/>
    </xf>
    <xf numFmtId="49" fontId="130" fillId="0" borderId="30" xfId="0" applyFont="1" applyBorder="1" applyAlignment="1">
      <alignment horizontal="left" vertical="center" wrapText="1" indent="2"/>
    </xf>
    <xf numFmtId="49" fontId="63" fillId="0" borderId="29" xfId="0" applyFont="1" applyBorder="1" applyAlignment="1">
      <alignment horizontal="left" vertical="top" wrapText="1" indent="2"/>
    </xf>
    <xf numFmtId="49" fontId="130" fillId="0" borderId="0" xfId="0" applyFont="1" applyBorder="1" applyAlignment="1">
      <alignment horizontal="left" vertical="top" wrapText="1" indent="2"/>
    </xf>
    <xf numFmtId="49" fontId="130" fillId="0" borderId="30" xfId="0" applyFont="1" applyBorder="1" applyAlignment="1">
      <alignment horizontal="left" vertical="top" wrapText="1" indent="2"/>
    </xf>
    <xf numFmtId="0" fontId="63" fillId="0" borderId="29" xfId="1" applyFont="1" applyBorder="1" applyAlignment="1" applyProtection="1">
      <alignment horizontal="left" vertical="center" wrapText="1" indent="2"/>
    </xf>
    <xf numFmtId="0" fontId="63" fillId="0" borderId="0" xfId="1" applyFont="1" applyBorder="1" applyAlignment="1" applyProtection="1">
      <alignment horizontal="left" vertical="center" wrapText="1" indent="2"/>
    </xf>
    <xf numFmtId="0" fontId="63" fillId="0" borderId="30" xfId="1" applyFont="1" applyBorder="1" applyAlignment="1" applyProtection="1">
      <alignment horizontal="left" vertical="center" wrapText="1" indent="2"/>
    </xf>
    <xf numFmtId="49" fontId="63" fillId="0" borderId="0" xfId="0" applyFont="1" applyBorder="1" applyAlignment="1">
      <alignment horizontal="left" vertical="center" wrapText="1" indent="2"/>
    </xf>
    <xf numFmtId="49" fontId="63" fillId="0" borderId="30" xfId="0" applyFont="1" applyBorder="1" applyAlignment="1">
      <alignment horizontal="left" vertical="center" wrapText="1" indent="2"/>
    </xf>
    <xf numFmtId="0" fontId="22" fillId="0" borderId="5" xfId="6" applyBorder="1" applyAlignment="1">
      <alignment horizontal="center" vertical="center" wrapText="1"/>
    </xf>
    <xf numFmtId="0" fontId="22" fillId="0" borderId="0" xfId="6" applyBorder="1" applyAlignment="1">
      <alignment horizontal="center" vertical="center" wrapText="1"/>
    </xf>
    <xf numFmtId="0" fontId="22" fillId="0" borderId="16" xfId="6" applyBorder="1" applyAlignment="1">
      <alignment horizontal="center" vertical="center" wrapText="1"/>
    </xf>
    <xf numFmtId="49" fontId="22" fillId="0" borderId="5" xfId="0" applyFont="1" applyBorder="1" applyAlignment="1">
      <alignment horizontal="center" vertical="center" wrapText="1"/>
    </xf>
    <xf numFmtId="49" fontId="0" fillId="0" borderId="5" xfId="0" applyBorder="1" applyAlignment="1">
      <alignment horizontal="center" vertical="center" wrapText="1"/>
    </xf>
    <xf numFmtId="49" fontId="0" fillId="0" borderId="0" xfId="0" applyBorder="1" applyAlignment="1">
      <alignment horizontal="center" vertical="center" wrapText="1"/>
    </xf>
    <xf numFmtId="49" fontId="0" fillId="0" borderId="16" xfId="0" applyBorder="1" applyAlignment="1">
      <alignment horizontal="center" vertical="center" wrapText="1"/>
    </xf>
    <xf numFmtId="49" fontId="61" fillId="0" borderId="0" xfId="0" applyFont="1" applyBorder="1" applyAlignment="1">
      <alignment horizontal="left" vertical="top" wrapText="1"/>
    </xf>
    <xf numFmtId="49" fontId="48" fillId="0" borderId="0" xfId="0" applyFont="1" applyAlignment="1"/>
    <xf numFmtId="49" fontId="63" fillId="0" borderId="32" xfId="0" applyFont="1" applyBorder="1" applyAlignment="1">
      <alignment horizontal="left" vertical="center" wrapText="1" indent="2"/>
    </xf>
    <xf numFmtId="49" fontId="0" fillId="0" borderId="0" xfId="0" applyAlignment="1">
      <alignment horizontal="left" vertical="center" wrapText="1" indent="2"/>
    </xf>
    <xf numFmtId="49" fontId="0" fillId="0" borderId="30" xfId="0" applyBorder="1" applyAlignment="1">
      <alignment horizontal="left" vertical="center" wrapText="1" indent="2"/>
    </xf>
    <xf numFmtId="0" fontId="64" fillId="0" borderId="29" xfId="1" applyFont="1" applyBorder="1" applyAlignment="1" applyProtection="1">
      <alignment horizontal="left" vertical="center" wrapText="1" indent="2"/>
    </xf>
    <xf numFmtId="0" fontId="64" fillId="0" borderId="0" xfId="1" applyFont="1" applyAlignment="1" applyProtection="1">
      <alignment horizontal="left" vertical="center" wrapText="1" indent="2"/>
    </xf>
    <xf numFmtId="0" fontId="64" fillId="0" borderId="30" xfId="1" applyFont="1" applyBorder="1" applyAlignment="1" applyProtection="1">
      <alignment horizontal="left" vertical="center" wrapText="1" indent="2"/>
    </xf>
    <xf numFmtId="0" fontId="64" fillId="0" borderId="32" xfId="1" applyFont="1" applyBorder="1" applyAlignment="1" applyProtection="1">
      <alignment horizontal="left" vertical="center" wrapText="1" indent="2"/>
    </xf>
    <xf numFmtId="49" fontId="66" fillId="20" borderId="0" xfId="0" applyFont="1" applyFill="1" applyBorder="1" applyAlignment="1">
      <alignment horizontal="center" vertical="center" wrapText="1"/>
    </xf>
    <xf numFmtId="49" fontId="229" fillId="14" borderId="0" xfId="1" applyNumberFormat="1" applyFont="1" applyFill="1" applyBorder="1" applyAlignment="1" applyProtection="1">
      <alignment horizontal="center" vertical="center"/>
    </xf>
    <xf numFmtId="49" fontId="229" fillId="21" borderId="0" xfId="1" applyNumberFormat="1" applyFont="1" applyFill="1" applyBorder="1" applyAlignment="1" applyProtection="1">
      <alignment horizontal="center" vertical="center" wrapText="1"/>
    </xf>
    <xf numFmtId="49" fontId="228" fillId="20" borderId="0" xfId="1" applyNumberFormat="1" applyFont="1" applyFill="1" applyBorder="1" applyAlignment="1" applyProtection="1">
      <alignment horizontal="center" vertical="center"/>
    </xf>
    <xf numFmtId="49" fontId="184" fillId="20" borderId="0" xfId="0" applyFont="1" applyFill="1" applyBorder="1" applyAlignment="1">
      <alignment horizontal="center" vertical="top" wrapText="1"/>
    </xf>
    <xf numFmtId="165" fontId="3" fillId="2" borderId="0" xfId="0" applyNumberFormat="1" applyFont="1" applyFill="1"/>
    <xf numFmtId="49" fontId="60" fillId="0" borderId="58" xfId="0" applyFont="1" applyBorder="1" applyAlignment="1">
      <alignment horizontal="center" vertical="center" wrapText="1"/>
    </xf>
    <xf numFmtId="49" fontId="14" fillId="0" borderId="59" xfId="0" applyFont="1" applyBorder="1" applyAlignment="1">
      <alignment horizontal="center"/>
    </xf>
    <xf numFmtId="49" fontId="14" fillId="0" borderId="89" xfId="0" applyFont="1" applyBorder="1" applyAlignment="1">
      <alignment horizontal="center"/>
    </xf>
    <xf numFmtId="49" fontId="44" fillId="0" borderId="3" xfId="0" applyFont="1" applyBorder="1" applyAlignment="1"/>
    <xf numFmtId="49" fontId="0" fillId="0" borderId="4" xfId="0" applyBorder="1" applyAlignment="1"/>
    <xf numFmtId="49" fontId="14" fillId="0" borderId="60" xfId="0" applyFont="1" applyBorder="1" applyAlignment="1">
      <alignment horizontal="center"/>
    </xf>
    <xf numFmtId="49" fontId="167" fillId="28" borderId="0" xfId="0" applyFont="1" applyFill="1" applyAlignment="1">
      <alignment horizontal="left"/>
    </xf>
    <xf numFmtId="49" fontId="62" fillId="12" borderId="0" xfId="0" applyFont="1" applyFill="1" applyAlignment="1">
      <alignment horizontal="center" vertical="center"/>
    </xf>
    <xf numFmtId="49" fontId="107" fillId="0" borderId="0" xfId="0" applyFont="1" applyAlignment="1">
      <alignment horizontal="left" vertical="center" wrapText="1"/>
    </xf>
    <xf numFmtId="49" fontId="140" fillId="24" borderId="6" xfId="0" applyFont="1" applyFill="1" applyBorder="1" applyAlignment="1">
      <alignment horizontal="center" vertical="center" wrapText="1" readingOrder="1"/>
    </xf>
    <xf numFmtId="49" fontId="140" fillId="24" borderId="15" xfId="0" applyFont="1" applyFill="1" applyBorder="1" applyAlignment="1">
      <alignment horizontal="center" vertical="center" wrapText="1" readingOrder="1"/>
    </xf>
    <xf numFmtId="49" fontId="140" fillId="24" borderId="7" xfId="0" applyFont="1" applyFill="1" applyBorder="1" applyAlignment="1">
      <alignment horizontal="center" vertical="center" wrapText="1" readingOrder="1"/>
    </xf>
    <xf numFmtId="0" fontId="227" fillId="2" borderId="0" xfId="1" applyFont="1" applyFill="1" applyAlignment="1" applyProtection="1">
      <alignment horizontal="center" vertical="center"/>
    </xf>
    <xf numFmtId="49" fontId="60" fillId="0" borderId="1" xfId="0" applyFont="1" applyBorder="1" applyAlignment="1">
      <alignment horizontal="center" vertical="center" wrapText="1"/>
    </xf>
    <xf numFmtId="49" fontId="14" fillId="0" borderId="1" xfId="0" applyFont="1" applyBorder="1" applyAlignment="1">
      <alignment horizontal="center"/>
    </xf>
    <xf numFmtId="49" fontId="14" fillId="0" borderId="3" xfId="0" applyFont="1" applyBorder="1" applyAlignment="1">
      <alignment horizontal="center"/>
    </xf>
    <xf numFmtId="1" fontId="164" fillId="2" borderId="3" xfId="0" applyNumberFormat="1" applyFont="1" applyFill="1" applyBorder="1" applyAlignment="1">
      <alignment horizontal="center" vertical="center" wrapText="1" readingOrder="1"/>
    </xf>
    <xf numFmtId="0" fontId="164" fillId="2" borderId="4" xfId="0" applyNumberFormat="1" applyFont="1" applyFill="1" applyBorder="1" applyAlignment="1">
      <alignment horizontal="center" vertical="center" wrapText="1" readingOrder="1"/>
    </xf>
    <xf numFmtId="49" fontId="153" fillId="6" borderId="1" xfId="0" applyFont="1" applyFill="1" applyBorder="1" applyAlignment="1">
      <alignment horizontal="center" vertical="center" wrapText="1" readingOrder="1"/>
    </xf>
    <xf numFmtId="49" fontId="153" fillId="6" borderId="3" xfId="0" applyFont="1" applyFill="1" applyBorder="1" applyAlignment="1">
      <alignment horizontal="center" vertical="center" wrapText="1" readingOrder="1"/>
    </xf>
    <xf numFmtId="49" fontId="153" fillId="6" borderId="4" xfId="0" applyFont="1" applyFill="1" applyBorder="1" applyAlignment="1">
      <alignment horizontal="center" vertical="center" wrapText="1" readingOrder="1"/>
    </xf>
    <xf numFmtId="49" fontId="78" fillId="0" borderId="0" xfId="0" applyFont="1" applyAlignment="1">
      <alignment horizontal="left" wrapText="1"/>
    </xf>
    <xf numFmtId="49" fontId="167" fillId="28" borderId="0" xfId="0" applyNumberFormat="1" applyFont="1" applyFill="1" applyAlignment="1">
      <alignment horizontal="left"/>
    </xf>
    <xf numFmtId="0" fontId="167" fillId="28" borderId="0" xfId="0" applyNumberFormat="1" applyFont="1" applyFill="1" applyAlignment="1">
      <alignment horizontal="left"/>
    </xf>
    <xf numFmtId="0" fontId="97" fillId="2" borderId="0" xfId="1" applyFont="1" applyFill="1" applyAlignment="1" applyProtection="1">
      <alignment horizontal="center" vertical="center"/>
    </xf>
    <xf numFmtId="49" fontId="96" fillId="0" borderId="0" xfId="0" applyFont="1" applyAlignment="1">
      <alignment horizontal="left" vertical="center" wrapText="1" readingOrder="1"/>
    </xf>
    <xf numFmtId="49" fontId="135" fillId="0" borderId="0" xfId="0" applyFont="1" applyAlignment="1">
      <alignment wrapText="1"/>
    </xf>
    <xf numFmtId="49" fontId="150" fillId="6" borderId="1" xfId="0" applyFont="1" applyFill="1" applyBorder="1" applyAlignment="1">
      <alignment horizontal="center" vertical="center" wrapText="1" readingOrder="1"/>
    </xf>
    <xf numFmtId="49" fontId="71" fillId="2" borderId="3" xfId="0" applyFont="1" applyFill="1" applyBorder="1" applyAlignment="1">
      <alignment horizontal="center" vertical="center" wrapText="1" readingOrder="1"/>
    </xf>
    <xf numFmtId="49" fontId="71" fillId="2" borderId="4" xfId="0" applyFont="1" applyFill="1" applyBorder="1" applyAlignment="1">
      <alignment horizontal="center" vertical="center" wrapText="1" readingOrder="1"/>
    </xf>
    <xf numFmtId="49" fontId="150" fillId="6" borderId="4" xfId="0" applyFont="1" applyFill="1" applyBorder="1" applyAlignment="1">
      <alignment horizontal="center" vertical="center" wrapText="1" readingOrder="1"/>
    </xf>
    <xf numFmtId="49" fontId="150" fillId="6" borderId="3" xfId="0" applyFont="1" applyFill="1" applyBorder="1" applyAlignment="1">
      <alignment horizontal="center" vertical="center" wrapText="1" readingOrder="1"/>
    </xf>
    <xf numFmtId="49" fontId="0" fillId="0" borderId="0" xfId="0"/>
    <xf numFmtId="49" fontId="181" fillId="0" borderId="5" xfId="0" applyFont="1" applyBorder="1" applyAlignment="1">
      <alignment horizontal="left" vertical="center" wrapText="1" readingOrder="1"/>
    </xf>
    <xf numFmtId="49" fontId="49" fillId="0" borderId="5" xfId="0" applyFont="1" applyBorder="1" applyAlignment="1">
      <alignment wrapText="1" readingOrder="1"/>
    </xf>
    <xf numFmtId="49" fontId="37" fillId="0" borderId="0" xfId="0" applyFont="1" applyAlignment="1">
      <alignment horizontal="left" vertical="center" wrapText="1" readingOrder="1"/>
    </xf>
    <xf numFmtId="49" fontId="134" fillId="0" borderId="0" xfId="0" applyFont="1" applyAlignment="1">
      <alignment wrapText="1" readingOrder="1"/>
    </xf>
    <xf numFmtId="49" fontId="152" fillId="0" borderId="0" xfId="0" applyFont="1" applyAlignment="1">
      <alignment wrapText="1"/>
    </xf>
    <xf numFmtId="49" fontId="52" fillId="6" borderId="1" xfId="0" applyFont="1" applyFill="1" applyBorder="1" applyAlignment="1">
      <alignment horizontal="center" vertical="center" wrapText="1" readingOrder="1"/>
    </xf>
    <xf numFmtId="49" fontId="37" fillId="0" borderId="5" xfId="0" applyFont="1" applyBorder="1" applyAlignment="1">
      <alignment horizontal="left" vertical="center" wrapText="1" readingOrder="1"/>
    </xf>
    <xf numFmtId="49" fontId="37" fillId="0" borderId="5" xfId="0" applyFont="1" applyBorder="1" applyAlignment="1">
      <alignment wrapText="1" readingOrder="1"/>
    </xf>
    <xf numFmtId="49" fontId="50" fillId="0" borderId="0" xfId="0" applyFont="1" applyAlignment="1">
      <alignment wrapText="1"/>
    </xf>
    <xf numFmtId="49" fontId="37" fillId="0" borderId="0" xfId="0" applyFont="1" applyAlignment="1">
      <alignment horizontal="left" vertical="center" wrapText="1"/>
    </xf>
    <xf numFmtId="49" fontId="49" fillId="0" borderId="0" xfId="0" applyFont="1" applyAlignment="1">
      <alignment horizontal="left" vertical="center" wrapText="1"/>
    </xf>
    <xf numFmtId="49" fontId="52" fillId="6" borderId="3" xfId="0" applyFont="1" applyFill="1" applyBorder="1" applyAlignment="1">
      <alignment horizontal="center" vertical="center" wrapText="1" readingOrder="1"/>
    </xf>
    <xf numFmtId="49" fontId="52" fillId="6" borderId="13" xfId="0" applyFont="1" applyFill="1" applyBorder="1" applyAlignment="1">
      <alignment horizontal="center" vertical="center" wrapText="1" readingOrder="1"/>
    </xf>
    <xf numFmtId="49" fontId="52" fillId="6" borderId="4" xfId="0" applyFont="1" applyFill="1" applyBorder="1" applyAlignment="1">
      <alignment horizontal="center" vertical="center" wrapText="1" readingOrder="1"/>
    </xf>
    <xf numFmtId="49" fontId="23" fillId="0" borderId="0" xfId="0" applyFont="1" applyAlignment="1">
      <alignment wrapText="1"/>
    </xf>
    <xf numFmtId="49" fontId="52" fillId="7" borderId="1" xfId="0" applyFont="1" applyFill="1" applyBorder="1" applyAlignment="1">
      <alignment horizontal="center" vertical="center" wrapText="1" readingOrder="1"/>
    </xf>
    <xf numFmtId="49" fontId="39" fillId="13" borderId="1" xfId="0" applyFont="1" applyFill="1" applyBorder="1" applyAlignment="1">
      <alignment horizontal="center" vertical="center" wrapText="1" readingOrder="1"/>
    </xf>
    <xf numFmtId="1" fontId="37" fillId="8" borderId="6" xfId="0" applyNumberFormat="1" applyFont="1" applyFill="1" applyBorder="1" applyAlignment="1" applyProtection="1">
      <alignment horizontal="center" vertical="center" wrapText="1" readingOrder="1"/>
      <protection locked="0"/>
    </xf>
    <xf numFmtId="1" fontId="37" fillId="8" borderId="7" xfId="0" applyNumberFormat="1" applyFont="1" applyFill="1" applyBorder="1" applyAlignment="1" applyProtection="1">
      <alignment horizontal="center" vertical="center" wrapText="1" readingOrder="1"/>
      <protection locked="0"/>
    </xf>
    <xf numFmtId="49" fontId="183" fillId="0" borderId="0" xfId="0" applyFont="1" applyAlignment="1">
      <alignment horizontal="center" vertical="center" wrapText="1"/>
    </xf>
    <xf numFmtId="49" fontId="136" fillId="0" borderId="0" xfId="0" applyFont="1" applyAlignment="1">
      <alignment horizontal="center" vertical="center" wrapText="1"/>
    </xf>
    <xf numFmtId="0" fontId="227" fillId="10" borderId="0" xfId="1" applyFont="1" applyFill="1" applyAlignment="1" applyProtection="1">
      <alignment horizontal="right" vertical="center"/>
    </xf>
    <xf numFmtId="49" fontId="137" fillId="22" borderId="0" xfId="0" applyFont="1" applyFill="1" applyAlignment="1">
      <alignment horizontal="center" vertical="center"/>
    </xf>
    <xf numFmtId="49" fontId="0" fillId="0" borderId="0" xfId="0" applyAlignment="1">
      <alignment horizontal="center" vertical="center"/>
    </xf>
    <xf numFmtId="49" fontId="113" fillId="0" borderId="58" xfId="0" applyFont="1" applyBorder="1" applyAlignment="1">
      <alignment horizontal="center" vertical="center" wrapText="1"/>
    </xf>
    <xf numFmtId="49" fontId="0" fillId="0" borderId="59" xfId="0" applyBorder="1" applyAlignment="1">
      <alignment horizontal="center"/>
    </xf>
    <xf numFmtId="49" fontId="0" fillId="0" borderId="60" xfId="0" applyBorder="1" applyAlignment="1">
      <alignment horizontal="center"/>
    </xf>
    <xf numFmtId="49" fontId="32" fillId="0" borderId="63" xfId="0" applyFont="1" applyBorder="1" applyProtection="1">
      <protection locked="0"/>
    </xf>
    <xf numFmtId="49" fontId="32" fillId="0" borderId="64" xfId="0" applyFont="1" applyBorder="1" applyProtection="1">
      <protection locked="0"/>
    </xf>
    <xf numFmtId="49" fontId="32" fillId="0" borderId="65" xfId="0" applyFont="1" applyBorder="1" applyProtection="1">
      <protection locked="0"/>
    </xf>
    <xf numFmtId="49" fontId="32" fillId="0" borderId="58" xfId="0" applyFont="1" applyBorder="1" applyAlignment="1" applyProtection="1">
      <protection locked="0"/>
    </xf>
    <xf numFmtId="49" fontId="0" fillId="0" borderId="59" xfId="0" applyBorder="1" applyAlignment="1" applyProtection="1">
      <protection locked="0"/>
    </xf>
    <xf numFmtId="49" fontId="0" fillId="0" borderId="60" xfId="0" applyBorder="1" applyAlignment="1" applyProtection="1">
      <protection locked="0"/>
    </xf>
    <xf numFmtId="49" fontId="32" fillId="0" borderId="59" xfId="0" applyFont="1" applyBorder="1" applyAlignment="1" applyProtection="1">
      <protection locked="0"/>
    </xf>
    <xf numFmtId="49" fontId="32" fillId="0" borderId="60" xfId="0" applyFont="1" applyBorder="1" applyAlignment="1" applyProtection="1">
      <protection locked="0"/>
    </xf>
    <xf numFmtId="49" fontId="137" fillId="20" borderId="0" xfId="0" applyFont="1" applyFill="1" applyAlignment="1">
      <alignment horizontal="center" vertical="center"/>
    </xf>
    <xf numFmtId="49" fontId="99" fillId="20" borderId="0" xfId="0" applyFont="1" applyFill="1" applyAlignment="1">
      <alignment horizontal="center" vertical="center"/>
    </xf>
    <xf numFmtId="49" fontId="185" fillId="0" borderId="0" xfId="0" applyFont="1" applyAlignment="1">
      <alignment horizontal="center" vertical="top" wrapText="1"/>
    </xf>
    <xf numFmtId="49" fontId="68" fillId="20" borderId="0" xfId="0" applyFont="1" applyFill="1" applyAlignment="1">
      <alignment horizontal="center" vertical="center"/>
    </xf>
    <xf numFmtId="49" fontId="184" fillId="20" borderId="0" xfId="0" applyFont="1" applyFill="1" applyAlignment="1">
      <alignment horizontal="center" vertical="center"/>
    </xf>
    <xf numFmtId="49" fontId="113" fillId="0" borderId="61" xfId="0" applyFont="1" applyBorder="1" applyAlignment="1">
      <alignment horizontal="center" vertical="center" wrapText="1"/>
    </xf>
    <xf numFmtId="49" fontId="113" fillId="0" borderId="34" xfId="0" applyFont="1" applyBorder="1" applyAlignment="1">
      <alignment horizontal="center" vertical="center" wrapText="1"/>
    </xf>
    <xf numFmtId="49" fontId="113" fillId="0" borderId="62" xfId="0" applyFont="1" applyBorder="1" applyAlignment="1">
      <alignment horizontal="center" vertical="center" wrapText="1"/>
    </xf>
    <xf numFmtId="49" fontId="14" fillId="0" borderId="61" xfId="0" applyFont="1" applyBorder="1" applyAlignment="1" applyProtection="1">
      <protection locked="0"/>
    </xf>
    <xf numFmtId="49" fontId="14" fillId="0" borderId="34" xfId="0" applyFont="1" applyBorder="1" applyAlignment="1" applyProtection="1">
      <protection locked="0"/>
    </xf>
    <xf numFmtId="49" fontId="113" fillId="0" borderId="61" xfId="0" applyFont="1" applyBorder="1" applyAlignment="1">
      <alignment vertical="center" wrapText="1"/>
    </xf>
    <xf numFmtId="49" fontId="113" fillId="0" borderId="34" xfId="0" applyFont="1" applyBorder="1" applyAlignment="1">
      <alignment vertical="center" wrapText="1"/>
    </xf>
    <xf numFmtId="49" fontId="32" fillId="0" borderId="83" xfId="0" applyFont="1" applyBorder="1" applyAlignment="1" applyProtection="1">
      <protection locked="0"/>
    </xf>
    <xf numFmtId="49" fontId="32" fillId="0" borderId="64" xfId="0" applyFont="1" applyBorder="1" applyAlignment="1" applyProtection="1">
      <protection locked="0"/>
    </xf>
    <xf numFmtId="49" fontId="32" fillId="0" borderId="65" xfId="0" applyFont="1" applyBorder="1" applyAlignment="1" applyProtection="1">
      <protection locked="0"/>
    </xf>
    <xf numFmtId="49" fontId="108" fillId="23" borderId="0" xfId="0" applyFont="1" applyFill="1" applyAlignment="1">
      <alignment horizontal="center" vertical="center"/>
    </xf>
    <xf numFmtId="49" fontId="109" fillId="23" borderId="0" xfId="0" applyFont="1" applyFill="1" applyAlignment="1">
      <alignment horizontal="center" vertical="center"/>
    </xf>
    <xf numFmtId="49" fontId="113" fillId="0" borderId="62" xfId="0" applyFont="1" applyBorder="1" applyAlignment="1">
      <alignment vertical="center" wrapText="1"/>
    </xf>
    <xf numFmtId="49" fontId="32" fillId="0" borderId="63" xfId="0" applyFont="1" applyBorder="1" applyAlignment="1" applyProtection="1">
      <protection locked="0"/>
    </xf>
    <xf numFmtId="49" fontId="46" fillId="0" borderId="0" xfId="0" applyFont="1" applyAlignment="1">
      <alignment horizontal="left" vertical="top" wrapText="1"/>
    </xf>
    <xf numFmtId="49" fontId="46" fillId="0" borderId="0" xfId="0" applyFont="1" applyAlignment="1">
      <alignment horizontal="left" vertical="top"/>
    </xf>
    <xf numFmtId="1" fontId="40" fillId="18" borderId="3" xfId="0" applyNumberFormat="1" applyFont="1" applyFill="1" applyBorder="1" applyAlignment="1">
      <alignment horizontal="center"/>
    </xf>
    <xf numFmtId="1" fontId="40" fillId="18" borderId="13" xfId="0" applyNumberFormat="1" applyFont="1" applyFill="1" applyBorder="1" applyAlignment="1">
      <alignment horizontal="center"/>
    </xf>
    <xf numFmtId="1" fontId="40" fillId="18" borderId="4" xfId="0" applyNumberFormat="1" applyFont="1" applyFill="1" applyBorder="1" applyAlignment="1">
      <alignment horizontal="center"/>
    </xf>
    <xf numFmtId="49" fontId="138" fillId="0" borderId="0" xfId="0" applyFont="1" applyAlignment="1">
      <alignment horizontal="left" wrapText="1"/>
    </xf>
    <xf numFmtId="49" fontId="0" fillId="0" borderId="0" xfId="0" applyAlignment="1">
      <alignment wrapText="1"/>
    </xf>
    <xf numFmtId="0" fontId="139" fillId="12" borderId="0" xfId="1" applyFont="1" applyFill="1" applyAlignment="1" applyProtection="1">
      <alignment horizontal="center" vertical="center"/>
    </xf>
    <xf numFmtId="0" fontId="139" fillId="2" borderId="0" xfId="1" applyFont="1" applyFill="1" applyAlignment="1" applyProtection="1">
      <alignment horizontal="center"/>
    </xf>
    <xf numFmtId="49" fontId="5" fillId="23" borderId="0" xfId="0" applyFont="1" applyFill="1" applyAlignment="1">
      <alignment horizontal="center" vertical="center"/>
    </xf>
    <xf numFmtId="49" fontId="0" fillId="23" borderId="0" xfId="0" applyFill="1" applyAlignment="1">
      <alignment horizontal="center" vertical="center"/>
    </xf>
    <xf numFmtId="49" fontId="17" fillId="9" borderId="1" xfId="0" applyFont="1" applyFill="1" applyBorder="1" applyAlignment="1">
      <alignment horizontal="center" vertical="top" wrapText="1"/>
    </xf>
    <xf numFmtId="49" fontId="137" fillId="21" borderId="0" xfId="0" applyFont="1" applyFill="1" applyAlignment="1">
      <alignment horizontal="center" vertical="center"/>
    </xf>
    <xf numFmtId="49" fontId="99" fillId="21" borderId="0" xfId="0" applyFont="1" applyFill="1" applyAlignment="1">
      <alignment horizontal="center" vertical="center"/>
    </xf>
    <xf numFmtId="49" fontId="9" fillId="9" borderId="0" xfId="0" applyFont="1" applyFill="1" applyBorder="1" applyAlignment="1"/>
    <xf numFmtId="49" fontId="48" fillId="9" borderId="0" xfId="0" applyFont="1" applyFill="1" applyAlignment="1">
      <alignment vertical="top" wrapText="1"/>
    </xf>
    <xf numFmtId="49" fontId="48" fillId="9" borderId="0" xfId="0" applyFont="1" applyFill="1" applyAlignment="1">
      <alignment horizontal="left" wrapText="1"/>
    </xf>
    <xf numFmtId="49" fontId="48" fillId="9" borderId="0" xfId="0" applyFont="1" applyFill="1" applyAlignment="1">
      <alignment horizontal="left"/>
    </xf>
    <xf numFmtId="49" fontId="48" fillId="9" borderId="0" xfId="0" applyFont="1" applyFill="1" applyAlignment="1">
      <alignment horizontal="left" vertical="top" wrapText="1"/>
    </xf>
    <xf numFmtId="49" fontId="48" fillId="9" borderId="0" xfId="0" applyFont="1" applyFill="1" applyAlignment="1">
      <alignment horizontal="left" vertical="top"/>
    </xf>
    <xf numFmtId="49" fontId="68" fillId="10" borderId="0" xfId="0" applyFont="1" applyFill="1" applyAlignment="1">
      <alignment horizontal="center" vertical="center"/>
    </xf>
    <xf numFmtId="49" fontId="184" fillId="10" borderId="0" xfId="0" applyFont="1" applyFill="1" applyAlignment="1">
      <alignment horizontal="center" vertical="center"/>
    </xf>
    <xf numFmtId="0" fontId="224" fillId="2" borderId="0" xfId="1" applyFont="1" applyFill="1" applyAlignment="1" applyProtection="1">
      <alignment horizontal="center"/>
    </xf>
    <xf numFmtId="0" fontId="74" fillId="2" borderId="0" xfId="1" applyFont="1" applyFill="1" applyAlignment="1" applyProtection="1">
      <alignment horizontal="center" vertical="center"/>
    </xf>
    <xf numFmtId="49" fontId="140" fillId="9" borderId="0" xfId="0" quotePrefix="1" applyFont="1" applyFill="1" applyBorder="1" applyAlignment="1">
      <alignment vertical="top" wrapText="1"/>
    </xf>
    <xf numFmtId="49" fontId="20" fillId="9" borderId="0" xfId="0" applyFont="1" applyFill="1" applyAlignment="1">
      <alignment vertical="top"/>
    </xf>
    <xf numFmtId="49" fontId="32" fillId="0" borderId="63" xfId="0" applyFont="1" applyBorder="1"/>
    <xf numFmtId="49" fontId="32" fillId="0" borderId="64" xfId="0" applyFont="1" applyBorder="1"/>
    <xf numFmtId="49" fontId="32" fillId="0" borderId="65" xfId="0" applyFont="1" applyBorder="1"/>
    <xf numFmtId="49" fontId="3" fillId="9" borderId="3" xfId="0" applyFont="1" applyFill="1" applyBorder="1" applyAlignment="1">
      <alignment horizontal="center" vertical="center" wrapText="1"/>
    </xf>
    <xf numFmtId="49" fontId="3" fillId="9" borderId="4" xfId="0" applyFont="1" applyFill="1" applyBorder="1" applyAlignment="1">
      <alignment horizontal="center" vertical="center" wrapText="1"/>
    </xf>
    <xf numFmtId="49" fontId="3" fillId="9" borderId="8" xfId="0" applyFont="1" applyFill="1" applyBorder="1" applyAlignment="1">
      <alignment horizontal="center" vertical="center" wrapText="1"/>
    </xf>
    <xf numFmtId="49" fontId="3" fillId="9" borderId="9" xfId="0" applyFont="1" applyFill="1" applyBorder="1" applyAlignment="1">
      <alignment horizontal="center" vertical="center" wrapText="1"/>
    </xf>
    <xf numFmtId="49" fontId="3" fillId="9" borderId="10" xfId="0" applyFont="1" applyFill="1" applyBorder="1" applyAlignment="1">
      <alignment horizontal="center" vertical="center" wrapText="1"/>
    </xf>
    <xf numFmtId="49" fontId="3" fillId="9" borderId="11" xfId="0" applyFont="1" applyFill="1" applyBorder="1" applyAlignment="1">
      <alignment horizontal="center" vertical="center" wrapText="1"/>
    </xf>
    <xf numFmtId="49" fontId="34" fillId="0" borderId="8" xfId="0" applyFont="1" applyBorder="1" applyAlignment="1">
      <alignment vertical="top" wrapText="1"/>
    </xf>
    <xf numFmtId="49" fontId="34" fillId="0" borderId="5" xfId="0" applyFont="1" applyBorder="1" applyAlignment="1">
      <alignment vertical="top" wrapText="1"/>
    </xf>
    <xf numFmtId="49" fontId="34" fillId="0" borderId="9" xfId="0" applyFont="1" applyBorder="1" applyAlignment="1">
      <alignment vertical="top" wrapText="1"/>
    </xf>
    <xf numFmtId="49" fontId="34" fillId="0" borderId="10" xfId="0" applyFont="1" applyBorder="1" applyAlignment="1">
      <alignment vertical="top" wrapText="1"/>
    </xf>
    <xf numFmtId="49" fontId="34" fillId="0" borderId="0" xfId="0" applyFont="1" applyAlignment="1">
      <alignment vertical="top" wrapText="1"/>
    </xf>
    <xf numFmtId="49" fontId="34" fillId="0" borderId="11" xfId="0" applyFont="1" applyBorder="1" applyAlignment="1">
      <alignment vertical="top" wrapText="1"/>
    </xf>
    <xf numFmtId="49" fontId="34" fillId="0" borderId="12" xfId="0" applyFont="1" applyBorder="1" applyAlignment="1">
      <alignment vertical="top" wrapText="1"/>
    </xf>
    <xf numFmtId="49" fontId="34" fillId="0" borderId="16" xfId="0" applyFont="1" applyBorder="1" applyAlignment="1">
      <alignment vertical="top" wrapText="1"/>
    </xf>
    <xf numFmtId="49" fontId="34" fillId="0" borderId="2" xfId="0" applyFont="1" applyBorder="1" applyAlignment="1">
      <alignment vertical="top" wrapText="1"/>
    </xf>
    <xf numFmtId="49" fontId="131" fillId="0" borderId="8" xfId="0" applyFont="1" applyBorder="1" applyAlignment="1">
      <alignment horizontal="center" vertical="top" wrapText="1"/>
    </xf>
    <xf numFmtId="49" fontId="131" fillId="0" borderId="5" xfId="0" applyFont="1" applyBorder="1" applyAlignment="1">
      <alignment horizontal="center" vertical="top" wrapText="1"/>
    </xf>
    <xf numFmtId="49" fontId="131" fillId="0" borderId="9" xfId="0" applyFont="1" applyBorder="1" applyAlignment="1">
      <alignment horizontal="center" vertical="top" wrapText="1"/>
    </xf>
    <xf numFmtId="49" fontId="131" fillId="0" borderId="10" xfId="0" applyFont="1" applyBorder="1" applyAlignment="1">
      <alignment horizontal="center" vertical="top" wrapText="1"/>
    </xf>
    <xf numFmtId="49" fontId="131" fillId="0" borderId="0" xfId="0" applyFont="1" applyBorder="1" applyAlignment="1">
      <alignment horizontal="center" vertical="top" wrapText="1"/>
    </xf>
    <xf numFmtId="49" fontId="131" fillId="0" borderId="11" xfId="0" applyFont="1" applyBorder="1" applyAlignment="1">
      <alignment horizontal="center" vertical="top" wrapText="1"/>
    </xf>
    <xf numFmtId="49" fontId="131" fillId="0" borderId="12" xfId="0" applyFont="1" applyBorder="1" applyAlignment="1">
      <alignment horizontal="center" vertical="top" wrapText="1"/>
    </xf>
    <xf numFmtId="49" fontId="131" fillId="0" borderId="16" xfId="0" applyFont="1" applyBorder="1" applyAlignment="1">
      <alignment horizontal="center" vertical="top" wrapText="1"/>
    </xf>
    <xf numFmtId="49" fontId="131" fillId="0" borderId="2" xfId="0" applyFont="1" applyBorder="1" applyAlignment="1">
      <alignment horizontal="center" vertical="top" wrapText="1"/>
    </xf>
    <xf numFmtId="49" fontId="129" fillId="19" borderId="0" xfId="0" applyFont="1" applyFill="1" applyAlignment="1"/>
    <xf numFmtId="49" fontId="132" fillId="2" borderId="0" xfId="0" applyFont="1" applyFill="1" applyAlignment="1"/>
    <xf numFmtId="49" fontId="131" fillId="0" borderId="1" xfId="0" applyFont="1" applyBorder="1" applyAlignment="1">
      <alignment vertical="center"/>
    </xf>
    <xf numFmtId="49" fontId="0" fillId="0" borderId="1" xfId="0" applyBorder="1" applyAlignment="1"/>
    <xf numFmtId="49" fontId="0" fillId="0" borderId="3" xfId="0" applyBorder="1" applyAlignment="1"/>
    <xf numFmtId="49" fontId="62" fillId="20" borderId="0" xfId="1" applyNumberFormat="1" applyFont="1" applyFill="1" applyBorder="1" applyAlignment="1" applyProtection="1">
      <alignment horizontal="center" wrapText="1"/>
    </xf>
    <xf numFmtId="49" fontId="62" fillId="14" borderId="0" xfId="1" applyNumberFormat="1" applyFont="1" applyFill="1" applyBorder="1" applyAlignment="1" applyProtection="1">
      <alignment horizontal="center" vertical="center" wrapText="1"/>
    </xf>
    <xf numFmtId="49" fontId="233" fillId="25" borderId="0" xfId="0" applyFont="1" applyFill="1" applyBorder="1" applyAlignment="1">
      <alignment horizontal="center" vertical="center" wrapText="1"/>
    </xf>
    <xf numFmtId="49" fontId="231" fillId="2" borderId="0" xfId="0" applyFont="1" applyFill="1" applyBorder="1" applyAlignment="1">
      <alignment vertical="top" wrapText="1"/>
    </xf>
    <xf numFmtId="49" fontId="57" fillId="2" borderId="0" xfId="0" applyFont="1" applyFill="1" applyBorder="1" applyAlignment="1">
      <alignment vertical="top" wrapText="1"/>
    </xf>
    <xf numFmtId="49" fontId="62" fillId="2" borderId="0" xfId="0" applyFont="1" applyFill="1" applyBorder="1" applyAlignment="1">
      <alignment horizontal="center" vertical="center" wrapText="1"/>
    </xf>
    <xf numFmtId="49" fontId="21" fillId="2" borderId="0" xfId="0" applyFont="1" applyFill="1" applyBorder="1" applyAlignment="1">
      <alignment horizontal="center" vertical="center" wrapText="1"/>
    </xf>
    <xf numFmtId="49" fontId="0" fillId="2" borderId="0" xfId="0" applyFill="1" applyBorder="1" applyAlignment="1">
      <alignment horizontal="center" vertical="center" wrapText="1"/>
    </xf>
    <xf numFmtId="49" fontId="62" fillId="27" borderId="0" xfId="1" applyNumberFormat="1" applyFont="1" applyFill="1" applyBorder="1" applyAlignment="1" applyProtection="1">
      <alignment horizontal="center" vertical="center" wrapText="1"/>
    </xf>
    <xf numFmtId="49" fontId="232" fillId="2" borderId="0" xfId="0" applyFont="1" applyFill="1" applyBorder="1" applyAlignment="1">
      <alignment vertical="top" wrapText="1"/>
    </xf>
    <xf numFmtId="49" fontId="231" fillId="19" borderId="0" xfId="0" applyFont="1" applyFill="1" applyBorder="1" applyAlignment="1">
      <alignment vertical="top" wrapText="1"/>
    </xf>
    <xf numFmtId="49" fontId="231" fillId="2" borderId="0" xfId="0" applyFont="1" applyFill="1" applyBorder="1" applyAlignment="1">
      <alignment horizontal="left" vertical="top" wrapText="1"/>
    </xf>
    <xf numFmtId="49" fontId="238" fillId="2" borderId="0" xfId="0" applyFont="1" applyFill="1" applyBorder="1" applyAlignment="1">
      <alignment horizontal="left" vertical="top" wrapText="1"/>
    </xf>
    <xf numFmtId="49" fontId="62" fillId="10" borderId="0" xfId="1" applyNumberFormat="1" applyFont="1" applyFill="1" applyBorder="1" applyAlignment="1" applyProtection="1">
      <alignment horizontal="center" vertical="center" wrapText="1"/>
    </xf>
    <xf numFmtId="49" fontId="13" fillId="0" borderId="66" xfId="0" applyFont="1" applyBorder="1" applyAlignment="1">
      <alignment vertical="top" wrapText="1"/>
    </xf>
    <xf numFmtId="49" fontId="13" fillId="0" borderId="67" xfId="0" applyFont="1" applyBorder="1" applyAlignment="1">
      <alignment vertical="top" wrapText="1"/>
    </xf>
    <xf numFmtId="49" fontId="13" fillId="0" borderId="68" xfId="0" applyFont="1" applyBorder="1" applyAlignment="1">
      <alignment vertical="top" wrapText="1"/>
    </xf>
    <xf numFmtId="49" fontId="14" fillId="0" borderId="69" xfId="0" applyFont="1" applyBorder="1" applyAlignment="1">
      <alignment vertical="top" wrapText="1"/>
    </xf>
    <xf numFmtId="49" fontId="14" fillId="0" borderId="17" xfId="0" applyFont="1" applyBorder="1" applyAlignment="1">
      <alignment vertical="top" wrapText="1"/>
    </xf>
    <xf numFmtId="49" fontId="14" fillId="0" borderId="18" xfId="0" applyFont="1" applyBorder="1" applyAlignment="1">
      <alignment vertical="top" wrapText="1"/>
    </xf>
    <xf numFmtId="49" fontId="13" fillId="0" borderId="70" xfId="0" applyFont="1" applyBorder="1" applyAlignment="1">
      <alignment vertical="top" wrapText="1"/>
    </xf>
    <xf numFmtId="49" fontId="13" fillId="0" borderId="71" xfId="0" applyFont="1" applyBorder="1" applyAlignment="1">
      <alignment vertical="top" wrapText="1"/>
    </xf>
    <xf numFmtId="49" fontId="13" fillId="0" borderId="72" xfId="0" applyFont="1" applyBorder="1" applyAlignment="1">
      <alignment vertical="top" wrapText="1"/>
    </xf>
    <xf numFmtId="49" fontId="13" fillId="0" borderId="73" xfId="0" applyFont="1" applyBorder="1" applyAlignment="1">
      <alignment vertical="top" wrapText="1"/>
    </xf>
    <xf numFmtId="49" fontId="13" fillId="0" borderId="0" xfId="0" applyFont="1" applyBorder="1" applyAlignment="1">
      <alignment vertical="top" wrapText="1"/>
    </xf>
    <xf numFmtId="49" fontId="13" fillId="0" borderId="74" xfId="0" applyFont="1" applyBorder="1" applyAlignment="1">
      <alignment vertical="top" wrapText="1"/>
    </xf>
    <xf numFmtId="49" fontId="13" fillId="0" borderId="75" xfId="0" applyFont="1" applyBorder="1" applyAlignment="1">
      <alignment vertical="top" wrapText="1"/>
    </xf>
    <xf numFmtId="49" fontId="13" fillId="0" borderId="76" xfId="0" applyFont="1" applyBorder="1" applyAlignment="1">
      <alignment vertical="top" wrapText="1"/>
    </xf>
    <xf numFmtId="49" fontId="13" fillId="0" borderId="77" xfId="0" applyFont="1" applyBorder="1" applyAlignment="1">
      <alignment vertical="top" wrapText="1"/>
    </xf>
    <xf numFmtId="49" fontId="15" fillId="0" borderId="69" xfId="0" applyFont="1" applyBorder="1" applyAlignment="1">
      <alignment vertical="top" wrapText="1"/>
    </xf>
    <xf numFmtId="49" fontId="15" fillId="0" borderId="18" xfId="0" applyFont="1" applyBorder="1" applyAlignment="1">
      <alignment vertical="top" wrapText="1"/>
    </xf>
    <xf numFmtId="49" fontId="13" fillId="0" borderId="69" xfId="0" applyFont="1" applyBorder="1" applyAlignment="1">
      <alignment vertical="top" wrapText="1"/>
    </xf>
    <xf numFmtId="49" fontId="13" fillId="0" borderId="18" xfId="0" applyFont="1" applyBorder="1" applyAlignment="1">
      <alignment vertical="top" wrapText="1"/>
    </xf>
  </cellXfs>
  <cellStyles count="7">
    <cellStyle name="Lien hypertexte" xfId="1" builtinId="8" customBuiltin="1"/>
    <cellStyle name="Milliers" xfId="5" builtinId="3"/>
    <cellStyle name="Normal" xfId="0" builtinId="0" customBuiltin="1"/>
    <cellStyle name="Normal 2" xfId="2" xr:uid="{00000000-0005-0000-0000-000002000000}"/>
    <cellStyle name="Normal_Tab_rapport_situation_comparee_2009_entreprises+300 2" xfId="3" xr:uid="{00000000-0005-0000-0000-000003000000}"/>
    <cellStyle name="Pourcentage" xfId="4" builtinId="5"/>
    <cellStyle name="texte encadré bleu" xfId="6" xr:uid="{8B667E9C-2BD2-2B4A-8048-4996E52864B7}"/>
  </cellStyles>
  <dxfs count="1810">
    <dxf>
      <font>
        <b val="0"/>
        <i val="0"/>
        <strike val="0"/>
        <condense val="0"/>
        <extend val="0"/>
        <outline val="0"/>
        <shadow val="0"/>
        <u val="none"/>
        <vertAlign val="baseline"/>
        <sz val="10"/>
        <color theme="1"/>
        <name val="Arial"/>
        <family val="2"/>
        <scheme val="none"/>
      </font>
      <numFmt numFmtId="169" formatCode="_ * #,##0_)_ ;_ * \(#,##0\)_ ;_ * &quot;-&quot;??_)_ ;_ @_ "/>
      <fill>
        <patternFill patternType="solid">
          <fgColor indexed="64"/>
          <bgColor theme="0" tint="-0.249977111117893"/>
        </patternFill>
      </fill>
      <alignment textRotation="0" indent="0" justifyLastLine="0" shrinkToFit="1" readingOrder="0"/>
      <border diagonalUp="0" diagonalDown="0">
        <left style="thin">
          <color indexed="64"/>
        </left>
        <right/>
        <top style="thin">
          <color indexed="64"/>
        </top>
        <bottom style="thin">
          <color indexed="64"/>
        </bottom>
      </border>
      <protection locked="1" hidden="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font>
    </dxf>
    <dxf>
      <font>
        <b/>
      </font>
    </dxf>
    <dxf>
      <font>
        <b/>
      </font>
    </dxf>
    <dxf>
      <font>
        <b/>
      </font>
    </dxf>
    <dxf>
      <font>
        <b/>
      </font>
    </dxf>
    <dxf>
      <font>
        <b/>
      </font>
    </dxf>
    <dxf>
      <font>
        <b/>
      </font>
    </dxf>
    <dxf>
      <font>
        <b/>
      </font>
    </dxf>
    <dxf>
      <font>
        <b/>
      </font>
    </dxf>
    <dxf>
      <font>
        <b/>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font>
    </dxf>
    <dxf>
      <font>
        <b/>
      </font>
    </dxf>
    <dxf>
      <font>
        <b/>
      </font>
    </dxf>
    <dxf>
      <font>
        <b/>
      </font>
    </dxf>
    <dxf>
      <font>
        <b/>
      </font>
    </dxf>
    <dxf>
      <font>
        <b/>
      </font>
    </dxf>
    <dxf>
      <font>
        <b/>
      </font>
    </dxf>
    <dxf>
      <font>
        <b/>
      </font>
    </dxf>
    <dxf>
      <font>
        <b/>
      </font>
    </dxf>
    <dxf>
      <font>
        <b/>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numFmt numFmtId="13" formatCode="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numFmt numFmtId="14" formatCode="0.00%"/>
    </dxf>
    <dxf>
      <fill>
        <patternFill>
          <bgColor theme="0"/>
        </patternFill>
      </fill>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numFmt numFmtId="14" formatCode="0.00%"/>
    </dxf>
    <dxf>
      <fill>
        <patternFill>
          <bgColor theme="0"/>
        </patternFill>
      </fill>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numFmt numFmtId="14" formatCode="0.00%"/>
    </dxf>
    <dxf>
      <fill>
        <patternFill>
          <bgColor theme="0"/>
        </patternFill>
      </fill>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numFmt numFmtId="14" formatCode="0.00%"/>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numFmt numFmtId="166" formatCode="_-* #,##0_€_-;\-* #,##0_€_-;_-* &quot;-&quot;??_€_-;_-@_-"/>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numFmt numFmtId="173" formatCode="&quot;oui&quot;;;&quot;non&quot;"/>
    </dxf>
    <dxf>
      <alignment horizontal="left"/>
    </dxf>
    <dxf>
      <numFmt numFmtId="0" formatCode="General"/>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numFmt numFmtId="173" formatCode="&quot;oui&quot;;;&quot;non&quot;"/>
    </dxf>
    <dxf>
      <alignment horizontal="center"/>
    </dxf>
    <dxf>
      <numFmt numFmtId="0" formatCode="Genera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indexed="64"/>
          <bgColor theme="4" tint="0.79998168889431442"/>
        </patternFill>
      </fill>
    </dxf>
    <dxf>
      <font>
        <color auto="1"/>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_-* #,##0_€_-;\-* #,##0_€_-;_-* &quot;-&quot;??_€_-;_-@_-"/>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alignment horizontal="left"/>
    </dxf>
    <dxf>
      <alignment horizontal="left"/>
    </dxf>
    <dxf>
      <numFmt numFmtId="0" formatCode="General"/>
    </dxf>
    <dxf>
      <numFmt numFmtId="0" formatCode="General"/>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patternType="solid">
          <bgColor rgb="FF00B0F0"/>
        </patternFill>
      </fill>
    </dxf>
    <dxf>
      <numFmt numFmtId="14" formatCode="0.00%"/>
    </dxf>
    <dxf>
      <fill>
        <patternFill>
          <bgColor theme="0"/>
        </patternFill>
      </fill>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numFmt numFmtId="167" formatCode="0.0"/>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numFmt numFmtId="167" formatCode="0.0"/>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alignment horizontal="left"/>
    </dxf>
    <dxf>
      <numFmt numFmtId="173" formatCode="&quot;oui&quot;;;&quot;non&quo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patternType="solid">
          <bgColor indexed="51"/>
        </patternFill>
      </fill>
    </dxf>
    <dxf>
      <fill>
        <patternFill>
          <bgColor indexed="44"/>
        </patternFill>
      </fill>
    </dxf>
    <dxf>
      <fill>
        <patternFill patternType="solid">
          <bgColor indexed="42"/>
        </patternFill>
      </fill>
    </dxf>
    <dxf>
      <fill>
        <patternFill patternType="none"/>
      </fill>
    </dxf>
    <dxf>
      <fill>
        <patternFill patternType="solid">
          <bgColor indexed="13"/>
        </patternFill>
      </fill>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patternType="none">
          <bgColor indexed="65"/>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alignment horizontal="center"/>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color auto="1"/>
      </font>
    </dxf>
    <dxf>
      <font>
        <b/>
      </font>
    </dxf>
    <dxf>
      <font>
        <b/>
      </font>
    </dxf>
    <dxf>
      <font>
        <b/>
      </font>
    </dxf>
    <dxf>
      <font>
        <b/>
      </font>
    </dxf>
    <dxf>
      <font>
        <b/>
      </font>
    </dxf>
    <dxf>
      <font>
        <b/>
      </font>
    </dxf>
    <dxf>
      <font>
        <b/>
      </font>
    </dxf>
    <dxf>
      <font>
        <b/>
      </font>
    </dxf>
    <dxf>
      <font>
        <b/>
      </font>
    </dxf>
    <dxf>
      <alignment horizontal="center"/>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patternType="solid">
          <bgColor indexed="51"/>
        </patternFill>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numFmt numFmtId="13" formatCode="0%"/>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font>
        <b/>
      </font>
    </dxf>
    <dxf>
      <font>
        <b/>
      </font>
    </dxf>
    <dxf>
      <font>
        <b/>
      </font>
    </dxf>
    <dxf>
      <font>
        <b/>
      </font>
    </dxf>
    <dxf>
      <font>
        <b/>
      </font>
    </dxf>
    <dxf>
      <font>
        <b/>
      </font>
    </dxf>
    <dxf>
      <font>
        <b/>
      </font>
    </dxf>
    <dxf>
      <font>
        <b/>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alignment horizontal="center"/>
    </dxf>
    <dxf>
      <alignment horizontal="center"/>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patternType="none">
          <bgColor indexed="65"/>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font>
        <b/>
      </font>
    </dxf>
    <dxf>
      <font>
        <b/>
      </font>
    </dxf>
    <dxf>
      <font>
        <b/>
      </font>
    </dxf>
    <dxf>
      <font>
        <b/>
      </font>
    </dxf>
    <dxf>
      <font>
        <b/>
      </font>
    </dxf>
    <dxf>
      <font>
        <b/>
      </font>
    </dxf>
    <dxf>
      <font>
        <b/>
      </font>
    </dxf>
    <dxf>
      <font>
        <b/>
      </font>
    </dxf>
    <dxf>
      <font>
        <color auto="1"/>
      </font>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color auto="1"/>
      </font>
    </dxf>
    <dxf>
      <fill>
        <patternFill patternType="none"/>
      </fill>
    </dxf>
    <dxf>
      <fill>
        <patternFill>
          <bgColor indexed="44"/>
        </patternFill>
      </fill>
    </dxf>
    <dxf>
      <fill>
        <patternFill patternType="solid">
          <bgColor indexed="42"/>
        </patternFill>
      </fill>
    </dxf>
    <dxf>
      <fill>
        <patternFill patternType="none"/>
      </fill>
    </dxf>
    <dxf>
      <fill>
        <patternFill patternType="solid">
          <bgColor indexed="13"/>
        </patternFill>
      </fill>
    </dxf>
    <dxf>
      <numFmt numFmtId="171" formatCode="_ * #,##0.0_)_ ;_ * \(#,##0.0\)_ ;_ * &quot;-&quot;??_)_ ;_ @_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font>
        <b/>
      </font>
    </dxf>
    <dxf>
      <font>
        <b/>
      </font>
    </dxf>
    <dxf>
      <font>
        <b/>
      </font>
    </dxf>
    <dxf>
      <font>
        <b/>
      </font>
    </dxf>
    <dxf>
      <font>
        <b/>
      </font>
    </dxf>
    <dxf>
      <font>
        <b/>
      </font>
    </dxf>
    <dxf>
      <font>
        <b/>
      </font>
    </dxf>
    <dxf>
      <font>
        <b/>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numFmt numFmtId="166" formatCode="_-* #,##0_€_-;\-* #,##0_€_-;_-* &quot;-&quot;??_€_-;_-@_-"/>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font>
    </dxf>
    <dxf>
      <font>
        <b/>
      </font>
    </dxf>
    <dxf>
      <font>
        <b/>
      </font>
    </dxf>
    <dxf>
      <font>
        <b/>
      </font>
    </dxf>
    <dxf>
      <font>
        <b/>
      </font>
    </dxf>
    <dxf>
      <font>
        <b/>
      </font>
    </dxf>
    <dxf>
      <font>
        <b/>
      </font>
    </dxf>
    <dxf>
      <font>
        <b/>
      </font>
    </dxf>
    <dxf>
      <font>
        <b/>
      </font>
    </dxf>
    <dxf>
      <font>
        <b/>
      </font>
    </dxf>
    <dxf>
      <fill>
        <patternFill>
          <bgColor theme="0"/>
        </patternFill>
      </fill>
    </dxf>
    <dxf>
      <font>
        <color auto="1"/>
      </font>
    </dxf>
    <dxf>
      <fill>
        <patternFill>
          <bgColor indexed="41"/>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42"/>
        </patternFill>
      </fill>
    </dxf>
    <dxf>
      <fill>
        <patternFill patternType="solid">
          <bgColor indexed="13"/>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ont>
        <color auto="1"/>
      </font>
    </dxf>
    <dxf>
      <fill>
        <patternFill>
          <bgColor indexed="41"/>
        </patternFill>
      </fill>
    </dxf>
    <dxf>
      <fill>
        <patternFill>
          <bgColor indexed="42"/>
        </patternFill>
      </fill>
    </dxf>
    <dxf>
      <fill>
        <patternFill>
          <bgColor indexed="42"/>
        </patternFill>
      </fill>
    </dxf>
    <dxf>
      <fill>
        <patternFill>
          <bgColor indexed="47"/>
        </patternFill>
      </fill>
    </dxf>
    <dxf>
      <fill>
        <patternFill patternType="solid">
          <bgColor indexed="41"/>
        </patternFill>
      </fill>
    </dxf>
    <dxf>
      <fill>
        <patternFill patternType="none"/>
      </fill>
    </dxf>
    <dxf>
      <fill>
        <patternFill patternType="solid">
          <bgColor indexed="22"/>
        </patternFill>
      </fill>
    </dxf>
    <dxf>
      <fill>
        <patternFill patternType="solid">
          <bgColor indexed="42"/>
        </patternFill>
      </fill>
    </dxf>
    <dxf>
      <fill>
        <patternFill patternType="solid">
          <bgColor indexed="45"/>
        </patternFill>
      </fill>
    </dxf>
    <dxf>
      <fill>
        <patternFill patternType="solid">
          <bgColor indexed="13"/>
        </patternFill>
      </fill>
    </dxf>
    <dxf>
      <font>
        <sz val="16"/>
      </font>
    </dxf>
    <dxf>
      <font>
        <sz val="16"/>
      </font>
    </dxf>
    <dxf>
      <fill>
        <patternFill patternType="solid">
          <bgColor theme="0"/>
        </patternFill>
      </fill>
    </dxf>
    <dxf>
      <fill>
        <patternFill patternType="solid">
          <bgColor theme="0"/>
        </patternFill>
      </fill>
    </dxf>
    <dxf>
      <border>
        <right/>
        <top/>
        <bottom/>
      </border>
    </dxf>
    <dxf>
      <border>
        <right/>
        <top/>
        <bottom/>
      </border>
    </dxf>
    <dxf>
      <border>
        <left/>
        <right/>
      </border>
    </dxf>
    <dxf>
      <border>
        <left/>
        <right/>
      </border>
    </dxf>
    <dxf>
      <border>
        <left/>
        <right/>
        <top/>
        <bottom/>
      </border>
    </dxf>
    <dxf>
      <alignment vertical="center"/>
    </dxf>
    <dxf>
      <alignment vertical="center"/>
    </dxf>
    <dxf>
      <font>
        <color theme="0"/>
      </font>
    </dxf>
    <dxf>
      <font>
        <sz val="11"/>
      </font>
    </dxf>
    <dxf>
      <font>
        <sz val="11"/>
      </font>
    </dxf>
    <dxf>
      <font>
        <sz val="11"/>
      </font>
    </dxf>
    <dxf>
      <font>
        <b/>
      </font>
    </dxf>
    <dxf>
      <font>
        <b/>
      </font>
    </dxf>
    <dxf>
      <font>
        <b/>
      </font>
    </dxf>
    <dxf>
      <alignment horizontal="center"/>
    </dxf>
    <dxf>
      <font>
        <color theme="0"/>
      </font>
    </dxf>
    <dxf>
      <fill>
        <patternFill patternType="solid">
          <bgColor rgb="FFFF0000"/>
        </patternFill>
      </fill>
    </dxf>
    <dxf>
      <fill>
        <patternFill patternType="solid">
          <bgColor theme="9" tint="0.399975585192419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alignment vertical="center"/>
    </dxf>
    <dxf>
      <alignment vertical="center"/>
    </dxf>
    <dxf>
      <alignment horizontal="center"/>
    </dxf>
    <dxf>
      <fill>
        <patternFill patternType="none">
          <bgColor auto="1"/>
        </patternFill>
      </fill>
    </dxf>
    <dxf>
      <fill>
        <patternFill patternType="none">
          <bgColor auto="1"/>
        </patternFill>
      </fill>
    </dxf>
    <dxf>
      <fill>
        <patternFill>
          <bgColor theme="4" tint="0.79998168889431442"/>
        </patternFill>
      </fill>
    </dxf>
    <dxf>
      <fill>
        <patternFill>
          <bgColor theme="4" tint="0.79998168889431442"/>
        </patternFill>
      </fill>
    </dxf>
    <dxf>
      <fill>
        <patternFill>
          <bgColor theme="4" tint="0.79998168889431442"/>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center"/>
    </dxf>
    <dxf>
      <alignment horizontal="cent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4" tint="0.79998168889431442"/>
        </patternFill>
      </fill>
    </dxf>
    <dxf>
      <fill>
        <patternFill patternType="solid">
          <bgColor theme="3" tint="0.79998168889431442"/>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Times New Roman"/>
        <family val="1"/>
        <scheme val="none"/>
      </font>
    </dxf>
    <dxf>
      <font>
        <b val="0"/>
        <i val="0"/>
        <strike val="0"/>
        <condense val="0"/>
        <extend val="0"/>
        <outline val="0"/>
        <shadow val="0"/>
        <u val="none"/>
        <vertAlign val="baseline"/>
        <sz val="10"/>
        <color auto="1"/>
        <name val="Times New Roman"/>
        <family val="1"/>
        <scheme val="none"/>
      </font>
    </dxf>
    <dxf>
      <font>
        <b val="0"/>
        <i val="0"/>
        <strike val="0"/>
        <condense val="0"/>
        <extend val="0"/>
        <outline val="0"/>
        <shadow val="0"/>
        <u val="none"/>
        <vertAlign val="baseline"/>
        <sz val="10"/>
        <color auto="1"/>
        <name val="Times New Roman"/>
        <family val="1"/>
        <scheme val="none"/>
      </font>
    </dxf>
    <dxf>
      <font>
        <b val="0"/>
        <i val="0"/>
        <strike val="0"/>
        <condense val="0"/>
        <extend val="0"/>
        <outline val="0"/>
        <shadow val="0"/>
        <u val="none"/>
        <vertAlign val="baseline"/>
        <sz val="10"/>
        <color auto="1"/>
        <name val="Times New Roman"/>
        <family val="1"/>
        <scheme val="none"/>
      </font>
    </dxf>
    <dxf>
      <font>
        <b val="0"/>
        <i val="0"/>
        <strike val="0"/>
        <condense val="0"/>
        <extend val="0"/>
        <outline val="0"/>
        <shadow val="0"/>
        <u val="none"/>
        <vertAlign val="baseline"/>
        <sz val="10"/>
        <color auto="1"/>
        <name val="Times New Roman"/>
        <family val="1"/>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textRotation="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general" vertical="bottom"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left" vertical="bottom"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center" vertical="bottom"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center" vertical="bottom" textRotation="0" wrapText="0" indent="0" justifyLastLine="0" shrinkToFit="1"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9" formatCode="_ * #,##0_)_ ;_ * \(#,##0\)_ ;_ * &quot;-&quot;??_)_ ;_ @_ "/>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9" formatCode="_ * #,##0_)_ ;_ * \(#,##0\)_ ;_ * &quot;-&quot;??_)_ ;_ @_ "/>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 formatCode="0"/>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right"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1" indent="0" justifyLastLine="0" shrinkToFit="1"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30" formatCode="@"/>
      <alignment textRotation="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textRotation="0" indent="0" justifyLastLine="0" shrinkToFit="1" readingOrder="0"/>
      <border diagonalUp="0" diagonalDown="0" outline="0">
        <left/>
        <right style="thin">
          <color indexed="64"/>
        </right>
        <top style="thin">
          <color indexed="64"/>
        </top>
        <bottom style="thin">
          <color indexed="64"/>
        </bottom>
      </border>
    </dxf>
    <dxf>
      <border outline="0">
        <left style="thin">
          <color indexed="64"/>
        </left>
      </border>
    </dxf>
    <dxf>
      <font>
        <b val="0"/>
        <i val="0"/>
        <strike val="0"/>
        <condense val="0"/>
        <extend val="0"/>
        <outline val="0"/>
        <shadow val="0"/>
        <u val="none"/>
        <vertAlign val="baseline"/>
        <sz val="10"/>
        <color auto="1"/>
        <name val="Arial"/>
        <family val="2"/>
        <scheme val="none"/>
      </font>
      <alignment textRotation="0" indent="0" justifyLastLine="0" shrinkToFit="1" readingOrder="0"/>
    </dxf>
    <dxf>
      <font>
        <b/>
        <i val="0"/>
        <strike val="0"/>
        <condense val="0"/>
        <extend val="0"/>
        <outline val="0"/>
        <shadow val="0"/>
        <u val="none"/>
        <vertAlign val="baseline"/>
        <sz val="11"/>
        <color indexed="12"/>
        <name val="Arial"/>
        <family val="2"/>
        <scheme val="none"/>
      </font>
      <fill>
        <patternFill patternType="none">
          <fgColor indexed="64"/>
          <bgColor indexed="65"/>
        </patternFill>
      </fill>
      <alignment horizontal="center" vertical="center" textRotation="0" wrapText="1" indent="0" justifyLastLine="0" shrinkToFit="0" readingOrder="0"/>
    </dxf>
    <dxf>
      <alignment vertical="center"/>
    </dxf>
    <dxf>
      <alignment vertical="center"/>
    </dxf>
    <dxf>
      <font>
        <color theme="0"/>
      </font>
    </dxf>
    <dxf>
      <font>
        <sz val="11"/>
      </font>
    </dxf>
    <dxf>
      <font>
        <sz val="11"/>
      </font>
    </dxf>
    <dxf>
      <font>
        <sz val="11"/>
      </font>
    </dxf>
    <dxf>
      <font>
        <b/>
      </font>
    </dxf>
    <dxf>
      <font>
        <b/>
      </font>
    </dxf>
    <dxf>
      <font>
        <b/>
      </font>
    </dxf>
    <dxf>
      <alignment horizontal="center"/>
    </dxf>
    <dxf>
      <font>
        <color theme="0"/>
      </font>
    </dxf>
    <dxf>
      <fill>
        <patternFill patternType="solid">
          <bgColor rgb="FFFF0000"/>
        </patternFill>
      </fill>
    </dxf>
    <dxf>
      <border>
        <bottom style="thin">
          <color auto="1"/>
        </bottom>
      </border>
    </dxf>
    <dxf>
      <border>
        <bottom style="thick">
          <color auto="1"/>
        </bottom>
      </border>
    </dxf>
  </dxfs>
  <tableStyles count="3" defaultTableStyle="TableStyleMedium9" defaultPivotStyle="PivotStyleMedium4">
    <tableStyle name="Anact" table="0" count="0" xr9:uid="{4C82C41B-B479-1544-A8C1-FB9192D978AA}"/>
    <tableStyle name="style anact" table="0" count="1" xr9:uid="{04DAD4C3-545A-9848-95D2-FEC81CD3463E}">
      <tableStyleElement type="secondRowStripe" dxfId="1809"/>
    </tableStyle>
    <tableStyle name="Style de tableau croisé dynamique 1" table="0" count="1" xr9:uid="{30F0B1B4-CC08-774E-9E94-CAB052489EB3}">
      <tableStyleElement type="secondColumnStripe" dxfId="180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99"/>
      <color rgb="FFFF9D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6.xml"/><Relationship Id="rId39" Type="http://schemas.microsoft.com/office/2007/relationships/slicerCache" Target="slicerCaches/slicerCache19.xml"/><Relationship Id="rId21" Type="http://schemas.microsoft.com/office/2007/relationships/slicerCache" Target="slicerCaches/slicerCache1.xml"/><Relationship Id="rId34" Type="http://schemas.microsoft.com/office/2007/relationships/slicerCache" Target="slicerCaches/slicerCache14.xml"/><Relationship Id="rId42" Type="http://schemas.microsoft.com/office/2007/relationships/slicerCache" Target="slicerCaches/slicerCache2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9.xml"/><Relationship Id="rId11" Type="http://schemas.openxmlformats.org/officeDocument/2006/relationships/worksheet" Target="worksheets/sheet11.xml"/><Relationship Id="rId24" Type="http://schemas.microsoft.com/office/2007/relationships/slicerCache" Target="slicerCaches/slicerCache4.xml"/><Relationship Id="rId32" Type="http://schemas.microsoft.com/office/2007/relationships/slicerCache" Target="slicerCaches/slicerCache12.xml"/><Relationship Id="rId37" Type="http://schemas.microsoft.com/office/2007/relationships/slicerCache" Target="slicerCaches/slicerCache17.xml"/><Relationship Id="rId40" Type="http://schemas.microsoft.com/office/2007/relationships/slicerCache" Target="slicerCaches/slicerCache2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3.xml"/><Relationship Id="rId28" Type="http://schemas.microsoft.com/office/2007/relationships/slicerCache" Target="slicerCaches/slicerCache8.xml"/><Relationship Id="rId36" Type="http://schemas.microsoft.com/office/2007/relationships/slicerCache" Target="slicerCaches/slicerCache1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microsoft.com/office/2007/relationships/slicerCache" Target="slicerCaches/slicerCache11.xml"/><Relationship Id="rId44" Type="http://schemas.openxmlformats.org/officeDocument/2006/relationships/styles" Target="styles.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2.xml"/><Relationship Id="rId27" Type="http://schemas.microsoft.com/office/2007/relationships/slicerCache" Target="slicerCaches/slicerCache7.xml"/><Relationship Id="rId30" Type="http://schemas.microsoft.com/office/2007/relationships/slicerCache" Target="slicerCaches/slicerCache10.xml"/><Relationship Id="rId35" Type="http://schemas.microsoft.com/office/2007/relationships/slicerCache" Target="slicerCaches/slicerCache1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5.xml"/><Relationship Id="rId33" Type="http://schemas.microsoft.com/office/2007/relationships/slicerCache" Target="slicerCaches/slicerCache13.xml"/><Relationship Id="rId38" Type="http://schemas.microsoft.com/office/2007/relationships/slicerCache" Target="slicerCaches/slicerCache18.xml"/><Relationship Id="rId46" Type="http://schemas.openxmlformats.org/officeDocument/2006/relationships/sheetMetadata" Target="metadata.xml"/><Relationship Id="rId20" Type="http://schemas.openxmlformats.org/officeDocument/2006/relationships/pivotCacheDefinition" Target="pivotCache/pivotCacheDefinition2.xml"/><Relationship Id="rId41" Type="http://schemas.microsoft.com/office/2007/relationships/slicerCache" Target="slicerCaches/slicerCache2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dynamique6</c:name>
    <c:fmtId val="0"/>
  </c:pivotSource>
  <c:chart>
    <c:title>
      <c:tx>
        <c:rich>
          <a:bodyPr/>
          <a:lstStyle/>
          <a:p>
            <a:pPr>
              <a:defRPr sz="1100" b="1"/>
            </a:pPr>
            <a:r>
              <a:rPr lang="fr-FR"/>
              <a:t>Répartition par service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MIXITE!$E$25:$E$26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MIXITE!$D$27:$D$30</c:f>
              <c:strCache>
                <c:ptCount val="3"/>
                <c:pt idx="0">
                  <c:v>PROD</c:v>
                </c:pt>
                <c:pt idx="1">
                  <c:v>SA</c:v>
                </c:pt>
                <c:pt idx="2">
                  <c:v>DIR</c:v>
                </c:pt>
              </c:strCache>
            </c:strRef>
          </c:cat>
          <c:val>
            <c:numRef>
              <c:f>MIXITE!$E$27:$E$30</c:f>
              <c:numCache>
                <c:formatCode>General</c:formatCode>
                <c:ptCount val="3"/>
                <c:pt idx="0">
                  <c:v>154</c:v>
                </c:pt>
                <c:pt idx="1">
                  <c:v>41</c:v>
                </c:pt>
                <c:pt idx="2">
                  <c:v>5</c:v>
                </c:pt>
              </c:numCache>
            </c:numRef>
          </c:val>
          <c:extLst>
            <c:ext xmlns:c16="http://schemas.microsoft.com/office/drawing/2014/chart" uri="{C3380CC4-5D6E-409C-BE32-E72D297353CC}">
              <c16:uniqueId val="{00000003-8318-044C-B80B-C54BBA85CBF6}"/>
            </c:ext>
          </c:extLst>
        </c:ser>
        <c:ser>
          <c:idx val="1"/>
          <c:order val="1"/>
          <c:tx>
            <c:strRef>
              <c:f>MIXITE!$F$25:$F$26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MIXITE!$D$27:$D$30</c:f>
              <c:strCache>
                <c:ptCount val="3"/>
                <c:pt idx="0">
                  <c:v>PROD</c:v>
                </c:pt>
                <c:pt idx="1">
                  <c:v>SA</c:v>
                </c:pt>
                <c:pt idx="2">
                  <c:v>DIR</c:v>
                </c:pt>
              </c:strCache>
            </c:strRef>
          </c:cat>
          <c:val>
            <c:numRef>
              <c:f>MIXITE!$F$27:$F$30</c:f>
              <c:numCache>
                <c:formatCode>General</c:formatCode>
                <c:ptCount val="3"/>
                <c:pt idx="0">
                  <c:v>88</c:v>
                </c:pt>
                <c:pt idx="1">
                  <c:v>26</c:v>
                </c:pt>
                <c:pt idx="2">
                  <c:v>6</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dynamique15</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selon les catégories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MIXITE!$W$146:$W$147</c:f>
              <c:strCache>
                <c:ptCount val="1"/>
                <c:pt idx="0">
                  <c:v>1-OUVRIER</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MIXITE!$V$148:$V$150</c:f>
              <c:strCache>
                <c:ptCount val="2"/>
                <c:pt idx="0">
                  <c:v>F</c:v>
                </c:pt>
                <c:pt idx="1">
                  <c:v>H</c:v>
                </c:pt>
              </c:strCache>
            </c:strRef>
          </c:cat>
          <c:val>
            <c:numRef>
              <c:f>MIXITE!$W$148:$W$150</c:f>
              <c:numCache>
                <c:formatCode>0%</c:formatCode>
                <c:ptCount val="2"/>
                <c:pt idx="0">
                  <c:v>0.47499999999999998</c:v>
                </c:pt>
                <c:pt idx="1">
                  <c:v>0.57999999999999996</c:v>
                </c:pt>
              </c:numCache>
            </c:numRef>
          </c:val>
          <c:extLst>
            <c:ext xmlns:c16="http://schemas.microsoft.com/office/drawing/2014/chart" uri="{C3380CC4-5D6E-409C-BE32-E72D297353CC}">
              <c16:uniqueId val="{00000003-6F46-9648-AD16-9037C71852F9}"/>
            </c:ext>
          </c:extLst>
        </c:ser>
        <c:ser>
          <c:idx val="1"/>
          <c:order val="1"/>
          <c:tx>
            <c:strRef>
              <c:f>MIXITE!$X$146:$X$147</c:f>
              <c:strCache>
                <c:ptCount val="1"/>
                <c:pt idx="0">
                  <c:v>2-EMPLOYE</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MIXITE!$V$148:$V$150</c:f>
              <c:strCache>
                <c:ptCount val="2"/>
                <c:pt idx="0">
                  <c:v>F</c:v>
                </c:pt>
                <c:pt idx="1">
                  <c:v>H</c:v>
                </c:pt>
              </c:strCache>
            </c:strRef>
          </c:cat>
          <c:val>
            <c:numRef>
              <c:f>MIXITE!$X$148:$X$150</c:f>
              <c:numCache>
                <c:formatCode>0%</c:formatCode>
                <c:ptCount val="2"/>
                <c:pt idx="0">
                  <c:v>0.22500000000000001</c:v>
                </c:pt>
                <c:pt idx="1">
                  <c:v>0.04</c:v>
                </c:pt>
              </c:numCache>
            </c:numRef>
          </c:val>
          <c:extLst>
            <c:ext xmlns:c16="http://schemas.microsoft.com/office/drawing/2014/chart" uri="{C3380CC4-5D6E-409C-BE32-E72D297353CC}">
              <c16:uniqueId val="{00000004-6F46-9648-AD16-9037C71852F9}"/>
            </c:ext>
          </c:extLst>
        </c:ser>
        <c:ser>
          <c:idx val="2"/>
          <c:order val="2"/>
          <c:tx>
            <c:strRef>
              <c:f>MIXITE!$Y$146:$Y$147</c:f>
              <c:strCache>
                <c:ptCount val="1"/>
                <c:pt idx="0">
                  <c:v>3-TAM</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MIXITE!$V$148:$V$150</c:f>
              <c:strCache>
                <c:ptCount val="2"/>
                <c:pt idx="0">
                  <c:v>F</c:v>
                </c:pt>
                <c:pt idx="1">
                  <c:v>H</c:v>
                </c:pt>
              </c:strCache>
            </c:strRef>
          </c:cat>
          <c:val>
            <c:numRef>
              <c:f>MIXITE!$Y$148:$Y$150</c:f>
              <c:numCache>
                <c:formatCode>0%</c:formatCode>
                <c:ptCount val="2"/>
                <c:pt idx="0">
                  <c:v>0.27500000000000002</c:v>
                </c:pt>
                <c:pt idx="1">
                  <c:v>0.33</c:v>
                </c:pt>
              </c:numCache>
            </c:numRef>
          </c:val>
          <c:extLst>
            <c:ext xmlns:c16="http://schemas.microsoft.com/office/drawing/2014/chart" uri="{C3380CC4-5D6E-409C-BE32-E72D297353CC}">
              <c16:uniqueId val="{00000003-82B9-C046-A30C-CA0067396CFF}"/>
            </c:ext>
          </c:extLst>
        </c:ser>
        <c:ser>
          <c:idx val="3"/>
          <c:order val="3"/>
          <c:tx>
            <c:strRef>
              <c:f>MIXITE!$Z$146:$Z$147</c:f>
              <c:strCache>
                <c:ptCount val="1"/>
                <c:pt idx="0">
                  <c:v>4-CADRE</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B9-C046-A30C-CA0067396CF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B9-C046-A30C-CA0067396CFF}"/>
                </c:ext>
              </c:extLst>
            </c:dLbl>
            <c:spPr>
              <a:noFill/>
              <a:ln>
                <a:noFill/>
              </a:ln>
              <a:effectLst/>
            </c:spPr>
            <c:txPr>
              <a:bodyPr wrap="square" lIns="38100" tIns="19050" rIns="38100" bIns="19050" anchor="ctr">
                <a:spAutoFit/>
              </a:bodyPr>
              <a:lstStyle/>
              <a:p>
                <a:pPr>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MIXITE!$V$148:$V$150</c:f>
              <c:strCache>
                <c:ptCount val="2"/>
                <c:pt idx="0">
                  <c:v>F</c:v>
                </c:pt>
                <c:pt idx="1">
                  <c:v>H</c:v>
                </c:pt>
              </c:strCache>
            </c:strRef>
          </c:cat>
          <c:val>
            <c:numRef>
              <c:f>MIXITE!$Z$148:$Z$150</c:f>
              <c:numCache>
                <c:formatCode>0%</c:formatCode>
                <c:ptCount val="2"/>
                <c:pt idx="0">
                  <c:v>2.5000000000000001E-2</c:v>
                </c:pt>
                <c:pt idx="1">
                  <c:v>0.05</c:v>
                </c:pt>
              </c:numCache>
            </c:numRef>
          </c:val>
          <c:extLst>
            <c:ext xmlns:c16="http://schemas.microsoft.com/office/drawing/2014/chart" uri="{C3380CC4-5D6E-409C-BE32-E72D297353CC}">
              <c16:uniqueId val="{00000004-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dynamique18</c:name>
    <c:fmtId val="3"/>
  </c:pivotSource>
  <c:chart>
    <c:title>
      <c:tx>
        <c:rich>
          <a:bodyPr/>
          <a:lstStyle/>
          <a:p>
            <a:pPr>
              <a:defRPr sz="1100" b="1"/>
            </a:pPr>
            <a:r>
              <a:rPr lang="fr-FR"/>
              <a:t>Répartition par tranches d'âges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MIXITE!$E$189:$E$190</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MIXITE!$D$191:$D$195</c:f>
              <c:strCache>
                <c:ptCount val="4"/>
                <c:pt idx="0">
                  <c:v>30 à 39 ans</c:v>
                </c:pt>
                <c:pt idx="1">
                  <c:v>40 à 49 ans</c:v>
                </c:pt>
                <c:pt idx="2">
                  <c:v>50 ans et plus</c:v>
                </c:pt>
                <c:pt idx="3">
                  <c:v>Moins de 30 ans</c:v>
                </c:pt>
              </c:strCache>
            </c:strRef>
          </c:cat>
          <c:val>
            <c:numRef>
              <c:f>MIXITE!$E$191:$E$195</c:f>
              <c:numCache>
                <c:formatCode>General</c:formatCode>
                <c:ptCount val="4"/>
                <c:pt idx="0">
                  <c:v>38</c:v>
                </c:pt>
                <c:pt idx="1">
                  <c:v>40</c:v>
                </c:pt>
                <c:pt idx="2">
                  <c:v>71</c:v>
                </c:pt>
                <c:pt idx="3">
                  <c:v>51</c:v>
                </c:pt>
              </c:numCache>
            </c:numRef>
          </c:val>
          <c:extLst>
            <c:ext xmlns:c16="http://schemas.microsoft.com/office/drawing/2014/chart" uri="{C3380CC4-5D6E-409C-BE32-E72D297353CC}">
              <c16:uniqueId val="{00000003-8318-044C-B80B-C54BBA85CBF6}"/>
            </c:ext>
          </c:extLst>
        </c:ser>
        <c:ser>
          <c:idx val="1"/>
          <c:order val="1"/>
          <c:tx>
            <c:strRef>
              <c:f>MIXITE!$F$189:$F$190</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MIXITE!$D$191:$D$195</c:f>
              <c:strCache>
                <c:ptCount val="4"/>
                <c:pt idx="0">
                  <c:v>30 à 39 ans</c:v>
                </c:pt>
                <c:pt idx="1">
                  <c:v>40 à 49 ans</c:v>
                </c:pt>
                <c:pt idx="2">
                  <c:v>50 ans et plus</c:v>
                </c:pt>
                <c:pt idx="3">
                  <c:v>Moins de 30 ans</c:v>
                </c:pt>
              </c:strCache>
            </c:strRef>
          </c:cat>
          <c:val>
            <c:numRef>
              <c:f>MIXITE!$F$191:$F$195</c:f>
              <c:numCache>
                <c:formatCode>General</c:formatCode>
                <c:ptCount val="4"/>
                <c:pt idx="0">
                  <c:v>30</c:v>
                </c:pt>
                <c:pt idx="1">
                  <c:v>27</c:v>
                </c:pt>
                <c:pt idx="2">
                  <c:v>34</c:v>
                </c:pt>
                <c:pt idx="3">
                  <c:v>29</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dynamique16</c:name>
    <c:fmtId val="0"/>
  </c:pivotSource>
  <c:chart>
    <c:title>
      <c:tx>
        <c:rich>
          <a:bodyPr/>
          <a:lstStyle/>
          <a:p>
            <a:pPr>
              <a:defRPr sz="1100" b="1"/>
            </a:pPr>
            <a:r>
              <a:rPr lang="fr-FR"/>
              <a:t>Moyennes d'âge par CSP des femmes et des hommes</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MIXITE!$N$189:$N$190</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MIXITE!$M$191:$M$195</c:f>
              <c:strCache>
                <c:ptCount val="4"/>
                <c:pt idx="0">
                  <c:v>1-OUVRIER</c:v>
                </c:pt>
                <c:pt idx="1">
                  <c:v>2-EMPLOYE</c:v>
                </c:pt>
                <c:pt idx="2">
                  <c:v>3-TAM</c:v>
                </c:pt>
                <c:pt idx="3">
                  <c:v>4-CADRE</c:v>
                </c:pt>
              </c:strCache>
            </c:strRef>
          </c:cat>
          <c:val>
            <c:numRef>
              <c:f>MIXITE!$N$191:$N$195</c:f>
              <c:numCache>
                <c:formatCode>_ * #,##0.0_)_ ;_ * \(#,##0.0\)_ ;_ * "-"??_)_ ;_ @_ </c:formatCode>
                <c:ptCount val="4"/>
                <c:pt idx="0">
                  <c:v>40.413793103448278</c:v>
                </c:pt>
                <c:pt idx="1">
                  <c:v>48.375</c:v>
                </c:pt>
                <c:pt idx="2">
                  <c:v>40.151515151515149</c:v>
                </c:pt>
                <c:pt idx="3">
                  <c:v>50.7</c:v>
                </c:pt>
              </c:numCache>
            </c:numRef>
          </c:val>
          <c:extLst>
            <c:ext xmlns:c16="http://schemas.microsoft.com/office/drawing/2014/chart" uri="{C3380CC4-5D6E-409C-BE32-E72D297353CC}">
              <c16:uniqueId val="{00000003-8318-044C-B80B-C54BBA85CBF6}"/>
            </c:ext>
          </c:extLst>
        </c:ser>
        <c:ser>
          <c:idx val="1"/>
          <c:order val="1"/>
          <c:tx>
            <c:strRef>
              <c:f>MIXITE!$O$189:$O$190</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MIXITE!$M$191:$M$195</c:f>
              <c:strCache>
                <c:ptCount val="4"/>
                <c:pt idx="0">
                  <c:v>1-OUVRIER</c:v>
                </c:pt>
                <c:pt idx="1">
                  <c:v>2-EMPLOYE</c:v>
                </c:pt>
                <c:pt idx="2">
                  <c:v>3-TAM</c:v>
                </c:pt>
                <c:pt idx="3">
                  <c:v>4-CADRE</c:v>
                </c:pt>
              </c:strCache>
            </c:strRef>
          </c:cat>
          <c:val>
            <c:numRef>
              <c:f>MIXITE!$O$191:$O$195</c:f>
              <c:numCache>
                <c:formatCode>_ * #,##0.0_)_ ;_ * \(#,##0.0\)_ ;_ * "-"??_)_ ;_ @_ </c:formatCode>
                <c:ptCount val="4"/>
                <c:pt idx="0">
                  <c:v>40.017543859649123</c:v>
                </c:pt>
                <c:pt idx="1">
                  <c:v>34.814814814814817</c:v>
                </c:pt>
                <c:pt idx="2">
                  <c:v>42.515151515151516</c:v>
                </c:pt>
                <c:pt idx="3">
                  <c:v>49.666666666666664</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_ * #,##0.0_)_ ;_ * \(#,##0.0\)_ ;_ * &quot;-&quot;??_)_ ;_ @_ "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dynamique17</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tranches d'âges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MIXITE!$W$189:$W$190</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MIXITE!$V$191:$V$195</c:f>
              <c:strCache>
                <c:ptCount val="4"/>
                <c:pt idx="0">
                  <c:v>30 à 39 ans</c:v>
                </c:pt>
                <c:pt idx="1">
                  <c:v>40 à 49 ans</c:v>
                </c:pt>
                <c:pt idx="2">
                  <c:v>50 ans et plus</c:v>
                </c:pt>
                <c:pt idx="3">
                  <c:v>Moins de 30 ans</c:v>
                </c:pt>
              </c:strCache>
            </c:strRef>
          </c:cat>
          <c:val>
            <c:numRef>
              <c:f>MIXITE!$W$191:$W$195</c:f>
              <c:numCache>
                <c:formatCode>0%</c:formatCode>
                <c:ptCount val="4"/>
                <c:pt idx="0">
                  <c:v>0.55882352941176472</c:v>
                </c:pt>
                <c:pt idx="1">
                  <c:v>0.59701492537313428</c:v>
                </c:pt>
                <c:pt idx="2">
                  <c:v>0.67619047619047623</c:v>
                </c:pt>
                <c:pt idx="3">
                  <c:v>0.63749999999999996</c:v>
                </c:pt>
              </c:numCache>
            </c:numRef>
          </c:val>
          <c:extLst>
            <c:ext xmlns:c16="http://schemas.microsoft.com/office/drawing/2014/chart" uri="{C3380CC4-5D6E-409C-BE32-E72D297353CC}">
              <c16:uniqueId val="{00000003-6F46-9648-AD16-9037C71852F9}"/>
            </c:ext>
          </c:extLst>
        </c:ser>
        <c:ser>
          <c:idx val="1"/>
          <c:order val="1"/>
          <c:tx>
            <c:strRef>
              <c:f>MIXITE!$X$189:$X$190</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MIXITE!$V$191:$V$195</c:f>
              <c:strCache>
                <c:ptCount val="4"/>
                <c:pt idx="0">
                  <c:v>30 à 39 ans</c:v>
                </c:pt>
                <c:pt idx="1">
                  <c:v>40 à 49 ans</c:v>
                </c:pt>
                <c:pt idx="2">
                  <c:v>50 ans et plus</c:v>
                </c:pt>
                <c:pt idx="3">
                  <c:v>Moins de 30 ans</c:v>
                </c:pt>
              </c:strCache>
            </c:strRef>
          </c:cat>
          <c:val>
            <c:numRef>
              <c:f>MIXITE!$X$191:$X$195</c:f>
              <c:numCache>
                <c:formatCode>0%</c:formatCode>
                <c:ptCount val="4"/>
                <c:pt idx="0">
                  <c:v>0.44117647058823528</c:v>
                </c:pt>
                <c:pt idx="1">
                  <c:v>0.40298507462686567</c:v>
                </c:pt>
                <c:pt idx="2">
                  <c:v>0.32380952380952382</c:v>
                </c:pt>
                <c:pt idx="3">
                  <c:v>0.36249999999999999</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[Outil_Diagnostic_Egalite_INDEX_21-12-20 3-1.xlsx]MIXITE!Tableau croisé dynamique19</c:name>
    <c:fmtId val="3"/>
  </c:pivotSource>
  <c:chart>
    <c:title>
      <c:tx>
        <c:rich>
          <a:bodyPr/>
          <a:lstStyle/>
          <a:p>
            <a:pPr>
              <a:defRPr sz="1100" b="1" i="0" u="none" strike="noStrike" baseline="0">
                <a:solidFill>
                  <a:srgbClr val="000000"/>
                </a:solidFill>
                <a:latin typeface="Calibri"/>
                <a:ea typeface="Calibri"/>
                <a:cs typeface="Calibri"/>
              </a:defRPr>
            </a:pPr>
            <a:r>
              <a:rPr lang="fr-FR" sz="1100"/>
              <a:t>Répartition par sexe selon les tranches d'âge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s>
    <c:plotArea>
      <c:layout/>
      <c:barChart>
        <c:barDir val="col"/>
        <c:grouping val="percentStacked"/>
        <c:varyColors val="0"/>
        <c:ser>
          <c:idx val="0"/>
          <c:order val="0"/>
          <c:tx>
            <c:strRef>
              <c:f>MIXITE!$AC$189:$AC$190</c:f>
              <c:strCache>
                <c:ptCount val="1"/>
                <c:pt idx="0">
                  <c:v>F</c:v>
                </c:pt>
              </c:strCache>
            </c:strRef>
          </c:tx>
          <c:invertIfNegative val="0"/>
          <c:cat>
            <c:strRef>
              <c:f>MIXITE!$AB$191:$AB$195</c:f>
              <c:strCache>
                <c:ptCount val="4"/>
                <c:pt idx="0">
                  <c:v>30 à 39 ans</c:v>
                </c:pt>
                <c:pt idx="1">
                  <c:v>40 à 49 ans</c:v>
                </c:pt>
                <c:pt idx="2">
                  <c:v>50 ans et plus</c:v>
                </c:pt>
                <c:pt idx="3">
                  <c:v>Moins de 30 ans</c:v>
                </c:pt>
              </c:strCache>
            </c:strRef>
          </c:cat>
          <c:val>
            <c:numRef>
              <c:f>MIXITE!$AC$191:$AC$195</c:f>
              <c:numCache>
                <c:formatCode>0%</c:formatCode>
                <c:ptCount val="4"/>
                <c:pt idx="0">
                  <c:v>0.25</c:v>
                </c:pt>
                <c:pt idx="1">
                  <c:v>0.22500000000000001</c:v>
                </c:pt>
                <c:pt idx="2">
                  <c:v>0.28333333333333333</c:v>
                </c:pt>
                <c:pt idx="3">
                  <c:v>0.24166666666666667</c:v>
                </c:pt>
              </c:numCache>
            </c:numRef>
          </c:val>
          <c:extLst>
            <c:ext xmlns:c16="http://schemas.microsoft.com/office/drawing/2014/chart" uri="{C3380CC4-5D6E-409C-BE32-E72D297353CC}">
              <c16:uniqueId val="{00000000-A1E9-3440-AFE9-CC32FBE49288}"/>
            </c:ext>
          </c:extLst>
        </c:ser>
        <c:ser>
          <c:idx val="1"/>
          <c:order val="1"/>
          <c:tx>
            <c:strRef>
              <c:f>MIXITE!$AD$189:$AD$190</c:f>
              <c:strCache>
                <c:ptCount val="1"/>
                <c:pt idx="0">
                  <c:v>H</c:v>
                </c:pt>
              </c:strCache>
            </c:strRef>
          </c:tx>
          <c:invertIfNegative val="0"/>
          <c:cat>
            <c:strRef>
              <c:f>MIXITE!$AB$191:$AB$195</c:f>
              <c:strCache>
                <c:ptCount val="4"/>
                <c:pt idx="0">
                  <c:v>30 à 39 ans</c:v>
                </c:pt>
                <c:pt idx="1">
                  <c:v>40 à 49 ans</c:v>
                </c:pt>
                <c:pt idx="2">
                  <c:v>50 ans et plus</c:v>
                </c:pt>
                <c:pt idx="3">
                  <c:v>Moins de 30 ans</c:v>
                </c:pt>
              </c:strCache>
            </c:strRef>
          </c:cat>
          <c:val>
            <c:numRef>
              <c:f>MIXITE!$AD$191:$AD$195</c:f>
              <c:numCache>
                <c:formatCode>0%</c:formatCode>
                <c:ptCount val="4"/>
                <c:pt idx="0">
                  <c:v>0.19</c:v>
                </c:pt>
                <c:pt idx="1">
                  <c:v>0.2</c:v>
                </c:pt>
                <c:pt idx="2">
                  <c:v>0.35499999999999998</c:v>
                </c:pt>
                <c:pt idx="3">
                  <c:v>0.255</c:v>
                </c:pt>
              </c:numCache>
            </c:numRef>
          </c:val>
          <c:extLst>
            <c:ext xmlns:c16="http://schemas.microsoft.com/office/drawing/2014/chart" uri="{C3380CC4-5D6E-409C-BE32-E72D297353CC}">
              <c16:uniqueId val="{00000001-A1E9-3440-AFE9-CC32FBE49288}"/>
            </c:ext>
          </c:extLst>
        </c:ser>
        <c:dLbls>
          <c:showLegendKey val="0"/>
          <c:showVal val="0"/>
          <c:showCatName val="0"/>
          <c:showSerName val="0"/>
          <c:showPercent val="0"/>
          <c:showBubbleSize val="0"/>
        </c:dLbls>
        <c:gapWidth val="150"/>
        <c:overlap val="100"/>
        <c:axId val="1002450127"/>
        <c:axId val="1"/>
      </c:barChart>
      <c:catAx>
        <c:axId val="1002450127"/>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fr-FR"/>
          </a:p>
        </c:txPr>
        <c:crossAx val="1002450127"/>
        <c:crosses val="autoZero"/>
        <c:crossBetween val="between"/>
      </c:valAx>
      <c:spPr>
        <a:solidFill>
          <a:srgbClr val="FFFFFF"/>
        </a:solidFill>
        <a:ln w="25400">
          <a:noFill/>
        </a:ln>
      </c:spPr>
    </c:plotArea>
    <c:legend>
      <c:legendPos val="r"/>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dynamique20</c:name>
    <c:fmtId val="0"/>
  </c:pivotSource>
  <c:chart>
    <c:title>
      <c:tx>
        <c:rich>
          <a:bodyPr/>
          <a:lstStyle/>
          <a:p>
            <a:pPr>
              <a:defRPr sz="1100" b="1"/>
            </a:pPr>
            <a:r>
              <a:rPr lang="fr-FR"/>
              <a:t>Répartition par type de contrat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MIXITE!$E$234:$E$235</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MIXITE!$D$236:$D$239</c:f>
              <c:strCache>
                <c:ptCount val="3"/>
                <c:pt idx="0">
                  <c:v>CDD</c:v>
                </c:pt>
                <c:pt idx="1">
                  <c:v>CDI</c:v>
                </c:pt>
                <c:pt idx="2">
                  <c:v>Contrat Aidé</c:v>
                </c:pt>
              </c:strCache>
            </c:strRef>
          </c:cat>
          <c:val>
            <c:numRef>
              <c:f>MIXITE!$E$236:$E$239</c:f>
              <c:numCache>
                <c:formatCode>General</c:formatCode>
                <c:ptCount val="3"/>
                <c:pt idx="0">
                  <c:v>30</c:v>
                </c:pt>
                <c:pt idx="1">
                  <c:v>161</c:v>
                </c:pt>
                <c:pt idx="2">
                  <c:v>9</c:v>
                </c:pt>
              </c:numCache>
            </c:numRef>
          </c:val>
          <c:extLst>
            <c:ext xmlns:c16="http://schemas.microsoft.com/office/drawing/2014/chart" uri="{C3380CC4-5D6E-409C-BE32-E72D297353CC}">
              <c16:uniqueId val="{00000003-8318-044C-B80B-C54BBA85CBF6}"/>
            </c:ext>
          </c:extLst>
        </c:ser>
        <c:ser>
          <c:idx val="1"/>
          <c:order val="1"/>
          <c:tx>
            <c:strRef>
              <c:f>MIXITE!$F$234:$F$235</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MIXITE!$D$236:$D$239</c:f>
              <c:strCache>
                <c:ptCount val="3"/>
                <c:pt idx="0">
                  <c:v>CDD</c:v>
                </c:pt>
                <c:pt idx="1">
                  <c:v>CDI</c:v>
                </c:pt>
                <c:pt idx="2">
                  <c:v>Contrat Aidé</c:v>
                </c:pt>
              </c:strCache>
            </c:strRef>
          </c:cat>
          <c:val>
            <c:numRef>
              <c:f>MIXITE!$F$236:$F$239</c:f>
              <c:numCache>
                <c:formatCode>General</c:formatCode>
                <c:ptCount val="3"/>
                <c:pt idx="0">
                  <c:v>17</c:v>
                </c:pt>
                <c:pt idx="1">
                  <c:v>97</c:v>
                </c:pt>
                <c:pt idx="2">
                  <c:v>6</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dynamique21</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type de contrat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MIXITE!$N$234:$N$235</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MIXITE!$M$236:$M$239</c:f>
              <c:strCache>
                <c:ptCount val="3"/>
                <c:pt idx="0">
                  <c:v>CDD</c:v>
                </c:pt>
                <c:pt idx="1">
                  <c:v>CDI</c:v>
                </c:pt>
                <c:pt idx="2">
                  <c:v>Contrat Aidé</c:v>
                </c:pt>
              </c:strCache>
            </c:strRef>
          </c:cat>
          <c:val>
            <c:numRef>
              <c:f>MIXITE!$N$236:$N$239</c:f>
              <c:numCache>
                <c:formatCode>0%</c:formatCode>
                <c:ptCount val="3"/>
                <c:pt idx="0">
                  <c:v>0.63829787234042556</c:v>
                </c:pt>
                <c:pt idx="1">
                  <c:v>0.62403100775193798</c:v>
                </c:pt>
                <c:pt idx="2">
                  <c:v>0.6</c:v>
                </c:pt>
              </c:numCache>
            </c:numRef>
          </c:val>
          <c:extLst>
            <c:ext xmlns:c16="http://schemas.microsoft.com/office/drawing/2014/chart" uri="{C3380CC4-5D6E-409C-BE32-E72D297353CC}">
              <c16:uniqueId val="{00000003-6F46-9648-AD16-9037C71852F9}"/>
            </c:ext>
          </c:extLst>
        </c:ser>
        <c:ser>
          <c:idx val="1"/>
          <c:order val="1"/>
          <c:tx>
            <c:strRef>
              <c:f>MIXITE!$O$234:$O$235</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MIXITE!$M$236:$M$239</c:f>
              <c:strCache>
                <c:ptCount val="3"/>
                <c:pt idx="0">
                  <c:v>CDD</c:v>
                </c:pt>
                <c:pt idx="1">
                  <c:v>CDI</c:v>
                </c:pt>
                <c:pt idx="2">
                  <c:v>Contrat Aidé</c:v>
                </c:pt>
              </c:strCache>
            </c:strRef>
          </c:cat>
          <c:val>
            <c:numRef>
              <c:f>MIXITE!$O$236:$O$239</c:f>
              <c:numCache>
                <c:formatCode>0%</c:formatCode>
                <c:ptCount val="3"/>
                <c:pt idx="0">
                  <c:v>0.36170212765957449</c:v>
                </c:pt>
                <c:pt idx="1">
                  <c:v>0.37596899224806202</c:v>
                </c:pt>
                <c:pt idx="2">
                  <c:v>0.4</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dynamique23</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selon les contrats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MIXITE!$W$234:$W$235</c:f>
              <c:strCache>
                <c:ptCount val="1"/>
                <c:pt idx="0">
                  <c:v>CDD</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MIXITE!$V$236:$V$238</c:f>
              <c:strCache>
                <c:ptCount val="2"/>
                <c:pt idx="0">
                  <c:v>F</c:v>
                </c:pt>
                <c:pt idx="1">
                  <c:v>H</c:v>
                </c:pt>
              </c:strCache>
            </c:strRef>
          </c:cat>
          <c:val>
            <c:numRef>
              <c:f>MIXITE!$W$236:$W$238</c:f>
              <c:numCache>
                <c:formatCode>0%</c:formatCode>
                <c:ptCount val="2"/>
                <c:pt idx="0">
                  <c:v>0.14166666666666666</c:v>
                </c:pt>
                <c:pt idx="1">
                  <c:v>0.15</c:v>
                </c:pt>
              </c:numCache>
            </c:numRef>
          </c:val>
          <c:extLst>
            <c:ext xmlns:c16="http://schemas.microsoft.com/office/drawing/2014/chart" uri="{C3380CC4-5D6E-409C-BE32-E72D297353CC}">
              <c16:uniqueId val="{00000003-6F46-9648-AD16-9037C71852F9}"/>
            </c:ext>
          </c:extLst>
        </c:ser>
        <c:ser>
          <c:idx val="1"/>
          <c:order val="1"/>
          <c:tx>
            <c:strRef>
              <c:f>MIXITE!$X$234:$X$235</c:f>
              <c:strCache>
                <c:ptCount val="1"/>
                <c:pt idx="0">
                  <c:v>CDI</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MIXITE!$V$236:$V$238</c:f>
              <c:strCache>
                <c:ptCount val="2"/>
                <c:pt idx="0">
                  <c:v>F</c:v>
                </c:pt>
                <c:pt idx="1">
                  <c:v>H</c:v>
                </c:pt>
              </c:strCache>
            </c:strRef>
          </c:cat>
          <c:val>
            <c:numRef>
              <c:f>MIXITE!$X$236:$X$238</c:f>
              <c:numCache>
                <c:formatCode>0%</c:formatCode>
                <c:ptCount val="2"/>
                <c:pt idx="0">
                  <c:v>0.80833333333333335</c:v>
                </c:pt>
                <c:pt idx="1">
                  <c:v>0.80500000000000005</c:v>
                </c:pt>
              </c:numCache>
            </c:numRef>
          </c:val>
          <c:extLst>
            <c:ext xmlns:c16="http://schemas.microsoft.com/office/drawing/2014/chart" uri="{C3380CC4-5D6E-409C-BE32-E72D297353CC}">
              <c16:uniqueId val="{00000004-6F46-9648-AD16-9037C71852F9}"/>
            </c:ext>
          </c:extLst>
        </c:ser>
        <c:ser>
          <c:idx val="2"/>
          <c:order val="2"/>
          <c:tx>
            <c:strRef>
              <c:f>MIXITE!$Y$234:$Y$235</c:f>
              <c:strCache>
                <c:ptCount val="1"/>
                <c:pt idx="0">
                  <c:v>Contrat Aidé</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MIXITE!$V$236:$V$238</c:f>
              <c:strCache>
                <c:ptCount val="2"/>
                <c:pt idx="0">
                  <c:v>F</c:v>
                </c:pt>
                <c:pt idx="1">
                  <c:v>H</c:v>
                </c:pt>
              </c:strCache>
            </c:strRef>
          </c:cat>
          <c:val>
            <c:numRef>
              <c:f>MIXITE!$Y$236:$Y$238</c:f>
              <c:numCache>
                <c:formatCode>0%</c:formatCode>
                <c:ptCount val="2"/>
                <c:pt idx="0">
                  <c:v>0.05</c:v>
                </c:pt>
                <c:pt idx="1">
                  <c:v>4.4999999999999998E-2</c:v>
                </c:pt>
              </c:numCache>
            </c:numRef>
          </c:val>
          <c:extLst>
            <c:ext xmlns:c16="http://schemas.microsoft.com/office/drawing/2014/chart" uri="{C3380CC4-5D6E-409C-BE32-E72D297353CC}">
              <c16:uniqueId val="{00000003-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dynamique25</c:name>
    <c:fmtId val="0"/>
  </c:pivotSource>
  <c:chart>
    <c:title>
      <c:tx>
        <c:rich>
          <a:bodyPr/>
          <a:lstStyle/>
          <a:p>
            <a:pPr>
              <a:defRPr sz="1100" b="1"/>
            </a:pPr>
            <a:r>
              <a:rPr lang="fr-FR"/>
              <a:t>Répartition des embauches des F et des H par catégorie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MIXITE!$E$278:$E$279</c:f>
              <c:strCache>
                <c:ptCount val="1"/>
                <c:pt idx="0">
                  <c:v>F</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MIXITE!$D$280:$D$284</c:f>
              <c:strCache>
                <c:ptCount val="4"/>
                <c:pt idx="0">
                  <c:v>1-OUVRIER</c:v>
                </c:pt>
                <c:pt idx="1">
                  <c:v>2-EMPLOYE</c:v>
                </c:pt>
                <c:pt idx="2">
                  <c:v>3-TAM</c:v>
                </c:pt>
                <c:pt idx="3">
                  <c:v>4-CADRE</c:v>
                </c:pt>
              </c:strCache>
            </c:strRef>
          </c:cat>
          <c:val>
            <c:numRef>
              <c:f>MIXITE!$E$280:$E$284</c:f>
              <c:numCache>
                <c:formatCode>General</c:formatCode>
                <c:ptCount val="4"/>
                <c:pt idx="0">
                  <c:v>57</c:v>
                </c:pt>
                <c:pt idx="1">
                  <c:v>27</c:v>
                </c:pt>
                <c:pt idx="2">
                  <c:v>33</c:v>
                </c:pt>
                <c:pt idx="3">
                  <c:v>3</c:v>
                </c:pt>
              </c:numCache>
            </c:numRef>
          </c:val>
          <c:extLst>
            <c:ext xmlns:c16="http://schemas.microsoft.com/office/drawing/2014/chart" uri="{C3380CC4-5D6E-409C-BE32-E72D297353CC}">
              <c16:uniqueId val="{00000003-8318-044C-B80B-C54BBA85CBF6}"/>
            </c:ext>
          </c:extLst>
        </c:ser>
        <c:ser>
          <c:idx val="1"/>
          <c:order val="1"/>
          <c:tx>
            <c:strRef>
              <c:f>MIXITE!$F$278:$F$279</c:f>
              <c:strCache>
                <c:ptCount val="1"/>
                <c:pt idx="0">
                  <c:v>H</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MIXITE!$D$280:$D$284</c:f>
              <c:strCache>
                <c:ptCount val="4"/>
                <c:pt idx="0">
                  <c:v>1-OUVRIER</c:v>
                </c:pt>
                <c:pt idx="1">
                  <c:v>2-EMPLOYE</c:v>
                </c:pt>
                <c:pt idx="2">
                  <c:v>3-TAM</c:v>
                </c:pt>
                <c:pt idx="3">
                  <c:v>4-CADRE</c:v>
                </c:pt>
              </c:strCache>
            </c:strRef>
          </c:cat>
          <c:val>
            <c:numRef>
              <c:f>MIXITE!$F$280:$F$284</c:f>
              <c:numCache>
                <c:formatCode>General</c:formatCode>
                <c:ptCount val="4"/>
                <c:pt idx="0">
                  <c:v>116</c:v>
                </c:pt>
                <c:pt idx="1">
                  <c:v>8</c:v>
                </c:pt>
                <c:pt idx="2">
                  <c:v>66</c:v>
                </c:pt>
                <c:pt idx="3">
                  <c:v>10</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dynamique26</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des embauches des F et des H par catégorie</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pivotFmt>
    </c:pivotFmts>
    <c:plotArea>
      <c:layout/>
      <c:barChart>
        <c:barDir val="col"/>
        <c:grouping val="percentStacked"/>
        <c:varyColors val="0"/>
        <c:ser>
          <c:idx val="0"/>
          <c:order val="0"/>
          <c:tx>
            <c:strRef>
              <c:f>MIXITE!$N$278:$N$279</c:f>
              <c:strCache>
                <c:ptCount val="1"/>
                <c:pt idx="0">
                  <c:v>F</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MIXITE!$M$280:$M$284</c:f>
              <c:strCache>
                <c:ptCount val="4"/>
                <c:pt idx="0">
                  <c:v>1-OUVRIER</c:v>
                </c:pt>
                <c:pt idx="1">
                  <c:v>2-EMPLOYE</c:v>
                </c:pt>
                <c:pt idx="2">
                  <c:v>3-TAM</c:v>
                </c:pt>
                <c:pt idx="3">
                  <c:v>4-CADRE</c:v>
                </c:pt>
              </c:strCache>
            </c:strRef>
          </c:cat>
          <c:val>
            <c:numRef>
              <c:f>MIXITE!$N$280:$N$284</c:f>
              <c:numCache>
                <c:formatCode>0%</c:formatCode>
                <c:ptCount val="4"/>
                <c:pt idx="0">
                  <c:v>0.32947976878612717</c:v>
                </c:pt>
                <c:pt idx="1">
                  <c:v>0.77142857142857146</c:v>
                </c:pt>
                <c:pt idx="2">
                  <c:v>0.33333333333333331</c:v>
                </c:pt>
                <c:pt idx="3">
                  <c:v>0.23076923076923078</c:v>
                </c:pt>
              </c:numCache>
            </c:numRef>
          </c:val>
          <c:extLst>
            <c:ext xmlns:c16="http://schemas.microsoft.com/office/drawing/2014/chart" uri="{C3380CC4-5D6E-409C-BE32-E72D297353CC}">
              <c16:uniqueId val="{00000003-6F46-9648-AD16-9037C71852F9}"/>
            </c:ext>
          </c:extLst>
        </c:ser>
        <c:ser>
          <c:idx val="1"/>
          <c:order val="1"/>
          <c:tx>
            <c:strRef>
              <c:f>MIXITE!$O$278:$O$279</c:f>
              <c:strCache>
                <c:ptCount val="1"/>
                <c:pt idx="0">
                  <c:v>H</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MIXITE!$M$280:$M$284</c:f>
              <c:strCache>
                <c:ptCount val="4"/>
                <c:pt idx="0">
                  <c:v>1-OUVRIER</c:v>
                </c:pt>
                <c:pt idx="1">
                  <c:v>2-EMPLOYE</c:v>
                </c:pt>
                <c:pt idx="2">
                  <c:v>3-TAM</c:v>
                </c:pt>
                <c:pt idx="3">
                  <c:v>4-CADRE</c:v>
                </c:pt>
              </c:strCache>
            </c:strRef>
          </c:cat>
          <c:val>
            <c:numRef>
              <c:f>MIXITE!$O$280:$O$284</c:f>
              <c:numCache>
                <c:formatCode>0%</c:formatCode>
                <c:ptCount val="4"/>
                <c:pt idx="0">
                  <c:v>0.67052023121387283</c:v>
                </c:pt>
                <c:pt idx="1">
                  <c:v>0.22857142857142856</c:v>
                </c:pt>
                <c:pt idx="2">
                  <c:v>0.66666666666666663</c:v>
                </c:pt>
                <c:pt idx="3">
                  <c:v>0.76923076923076927</c:v>
                </c:pt>
              </c:numCache>
            </c:numRef>
          </c:val>
          <c:extLst>
            <c:ext xmlns:c16="http://schemas.microsoft.com/office/drawing/2014/chart" uri="{C3380CC4-5D6E-409C-BE32-E72D297353CC}">
              <c16:uniqueId val="{00000003-7AE0-F54A-90B1-289517AAC953}"/>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5.3352993042437707E-2"/>
          <c:h val="0.1965902966203555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[Outil_Diagnostic_Egalite_INDEX_21-12-20 3-1.xlsx]MIXITE!Tableau croisé dynamique7</c:name>
    <c:fmtId val="0"/>
  </c:pivotSource>
  <c:chart>
    <c:title>
      <c:tx>
        <c:rich>
          <a:bodyPr/>
          <a:lstStyle/>
          <a:p>
            <a:pPr>
              <a:defRPr sz="1100" b="1" i="0" u="none" strike="noStrike" baseline="0">
                <a:solidFill>
                  <a:srgbClr val="000000"/>
                </a:solidFill>
                <a:latin typeface="Calibri"/>
                <a:ea typeface="Calibri"/>
                <a:cs typeface="Calibri"/>
              </a:defRPr>
            </a:pPr>
            <a:r>
              <a:rPr lang="fr-FR" sz="1100"/>
              <a:t>Répartition en pourcentage par service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MIXITE!$N$25:$N$26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MIXITE!$M$27:$M$30</c:f>
              <c:strCache>
                <c:ptCount val="3"/>
                <c:pt idx="0">
                  <c:v>PROD</c:v>
                </c:pt>
                <c:pt idx="1">
                  <c:v>DIR</c:v>
                </c:pt>
                <c:pt idx="2">
                  <c:v>SA</c:v>
                </c:pt>
              </c:strCache>
            </c:strRef>
          </c:cat>
          <c:val>
            <c:numRef>
              <c:f>MIXITE!$N$27:$N$30</c:f>
              <c:numCache>
                <c:formatCode>0%</c:formatCode>
                <c:ptCount val="3"/>
                <c:pt idx="0">
                  <c:v>0.63636363636363635</c:v>
                </c:pt>
                <c:pt idx="1">
                  <c:v>0.45454545454545453</c:v>
                </c:pt>
                <c:pt idx="2">
                  <c:v>0.61194029850746268</c:v>
                </c:pt>
              </c:numCache>
            </c:numRef>
          </c:val>
          <c:extLst>
            <c:ext xmlns:c16="http://schemas.microsoft.com/office/drawing/2014/chart" uri="{C3380CC4-5D6E-409C-BE32-E72D297353CC}">
              <c16:uniqueId val="{00000003-6F46-9648-AD16-9037C71852F9}"/>
            </c:ext>
          </c:extLst>
        </c:ser>
        <c:ser>
          <c:idx val="1"/>
          <c:order val="1"/>
          <c:tx>
            <c:strRef>
              <c:f>MIXITE!$O$25:$O$26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MIXITE!$M$27:$M$30</c:f>
              <c:strCache>
                <c:ptCount val="3"/>
                <c:pt idx="0">
                  <c:v>PROD</c:v>
                </c:pt>
                <c:pt idx="1">
                  <c:v>DIR</c:v>
                </c:pt>
                <c:pt idx="2">
                  <c:v>SA</c:v>
                </c:pt>
              </c:strCache>
            </c:strRef>
          </c:cat>
          <c:val>
            <c:numRef>
              <c:f>MIXITE!$O$27:$O$30</c:f>
              <c:numCache>
                <c:formatCode>0%</c:formatCode>
                <c:ptCount val="3"/>
                <c:pt idx="0">
                  <c:v>0.36363636363636365</c:v>
                </c:pt>
                <c:pt idx="1">
                  <c:v>0.54545454545454541</c:v>
                </c:pt>
                <c:pt idx="2">
                  <c:v>0.38805970149253732</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dynamique24</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des embauches par catégorie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MIXITE!$W$278:$W$279</c:f>
              <c:strCache>
                <c:ptCount val="1"/>
                <c:pt idx="0">
                  <c:v>1-OUVRIER</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MIXITE!$V$280:$V$282</c:f>
              <c:strCache>
                <c:ptCount val="2"/>
                <c:pt idx="0">
                  <c:v>F</c:v>
                </c:pt>
                <c:pt idx="1">
                  <c:v>H</c:v>
                </c:pt>
              </c:strCache>
            </c:strRef>
          </c:cat>
          <c:val>
            <c:numRef>
              <c:f>MIXITE!$W$280:$W$282</c:f>
              <c:numCache>
                <c:formatCode>0%</c:formatCode>
                <c:ptCount val="2"/>
                <c:pt idx="0">
                  <c:v>0.47499999999999998</c:v>
                </c:pt>
                <c:pt idx="1">
                  <c:v>0.57999999999999996</c:v>
                </c:pt>
              </c:numCache>
            </c:numRef>
          </c:val>
          <c:extLst>
            <c:ext xmlns:c16="http://schemas.microsoft.com/office/drawing/2014/chart" uri="{C3380CC4-5D6E-409C-BE32-E72D297353CC}">
              <c16:uniqueId val="{00000003-6F46-9648-AD16-9037C71852F9}"/>
            </c:ext>
          </c:extLst>
        </c:ser>
        <c:ser>
          <c:idx val="1"/>
          <c:order val="1"/>
          <c:tx>
            <c:strRef>
              <c:f>MIXITE!$X$278:$X$279</c:f>
              <c:strCache>
                <c:ptCount val="1"/>
                <c:pt idx="0">
                  <c:v>3-TAM</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MIXITE!$V$280:$V$282</c:f>
              <c:strCache>
                <c:ptCount val="2"/>
                <c:pt idx="0">
                  <c:v>F</c:v>
                </c:pt>
                <c:pt idx="1">
                  <c:v>H</c:v>
                </c:pt>
              </c:strCache>
            </c:strRef>
          </c:cat>
          <c:val>
            <c:numRef>
              <c:f>MIXITE!$X$280:$X$282</c:f>
              <c:numCache>
                <c:formatCode>0%</c:formatCode>
                <c:ptCount val="2"/>
                <c:pt idx="0">
                  <c:v>0.27500000000000002</c:v>
                </c:pt>
                <c:pt idx="1">
                  <c:v>0.33</c:v>
                </c:pt>
              </c:numCache>
            </c:numRef>
          </c:val>
          <c:extLst>
            <c:ext xmlns:c16="http://schemas.microsoft.com/office/drawing/2014/chart" uri="{C3380CC4-5D6E-409C-BE32-E72D297353CC}">
              <c16:uniqueId val="{00000004-6F46-9648-AD16-9037C71852F9}"/>
            </c:ext>
          </c:extLst>
        </c:ser>
        <c:ser>
          <c:idx val="2"/>
          <c:order val="2"/>
          <c:tx>
            <c:strRef>
              <c:f>MIXITE!$Y$278:$Y$279</c:f>
              <c:strCache>
                <c:ptCount val="1"/>
                <c:pt idx="0">
                  <c:v>2-EMPLOYE</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MIXITE!$V$280:$V$282</c:f>
              <c:strCache>
                <c:ptCount val="2"/>
                <c:pt idx="0">
                  <c:v>F</c:v>
                </c:pt>
                <c:pt idx="1">
                  <c:v>H</c:v>
                </c:pt>
              </c:strCache>
            </c:strRef>
          </c:cat>
          <c:val>
            <c:numRef>
              <c:f>MIXITE!$Y$280:$Y$282</c:f>
              <c:numCache>
                <c:formatCode>0%</c:formatCode>
                <c:ptCount val="2"/>
                <c:pt idx="0">
                  <c:v>0.22500000000000001</c:v>
                </c:pt>
                <c:pt idx="1">
                  <c:v>0.04</c:v>
                </c:pt>
              </c:numCache>
            </c:numRef>
          </c:val>
          <c:extLst>
            <c:ext xmlns:c16="http://schemas.microsoft.com/office/drawing/2014/chart" uri="{C3380CC4-5D6E-409C-BE32-E72D297353CC}">
              <c16:uniqueId val="{00000003-82B9-C046-A30C-CA0067396CFF}"/>
            </c:ext>
          </c:extLst>
        </c:ser>
        <c:ser>
          <c:idx val="3"/>
          <c:order val="3"/>
          <c:tx>
            <c:strRef>
              <c:f>MIXITE!$Z$278:$Z$279</c:f>
              <c:strCache>
                <c:ptCount val="1"/>
                <c:pt idx="0">
                  <c:v>4-CADRE</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B9-C046-A30C-CA0067396CF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B9-C046-A30C-CA0067396CFF}"/>
                </c:ext>
              </c:extLst>
            </c:dLbl>
            <c:spPr>
              <a:noFill/>
              <a:ln>
                <a:noFill/>
              </a:ln>
              <a:effectLst/>
            </c:spPr>
            <c:txPr>
              <a:bodyPr wrap="square" lIns="38100" tIns="19050" rIns="38100" bIns="19050" anchor="ctr">
                <a:spAutoFit/>
              </a:bodyPr>
              <a:lstStyle/>
              <a:p>
                <a:pPr>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MIXITE!$V$280:$V$282</c:f>
              <c:strCache>
                <c:ptCount val="2"/>
                <c:pt idx="0">
                  <c:v>F</c:v>
                </c:pt>
                <c:pt idx="1">
                  <c:v>H</c:v>
                </c:pt>
              </c:strCache>
            </c:strRef>
          </c:cat>
          <c:val>
            <c:numRef>
              <c:f>MIXITE!$Z$280:$Z$282</c:f>
              <c:numCache>
                <c:formatCode>0%</c:formatCode>
                <c:ptCount val="2"/>
                <c:pt idx="0">
                  <c:v>2.5000000000000001E-2</c:v>
                </c:pt>
                <c:pt idx="1">
                  <c:v>0.05</c:v>
                </c:pt>
              </c:numCache>
            </c:numRef>
          </c:val>
          <c:extLst>
            <c:ext xmlns:c16="http://schemas.microsoft.com/office/drawing/2014/chart" uri="{C3380CC4-5D6E-409C-BE32-E72D297353CC}">
              <c16:uniqueId val="{00000004-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dynamique5</c:name>
    <c:fmtId val="4"/>
  </c:pivotSource>
  <c:chart>
    <c:title>
      <c:tx>
        <c:rich>
          <a:bodyPr/>
          <a:lstStyle/>
          <a:p>
            <a:pPr>
              <a:defRPr sz="1100" b="1"/>
            </a:pPr>
            <a:r>
              <a:rPr lang="fr-FR"/>
              <a:t>Répartition par emploi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MIXITE!$E$100:$E$101</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MIXITE!$D$102:$D$115</c:f>
              <c:strCache>
                <c:ptCount val="13"/>
                <c:pt idx="0">
                  <c:v>achat</c:v>
                </c:pt>
                <c:pt idx="1">
                  <c:v>agent de maintenance</c:v>
                </c:pt>
                <c:pt idx="2">
                  <c:v>assistante</c:v>
                </c:pt>
                <c:pt idx="3">
                  <c:v>chef d'équipe</c:v>
                </c:pt>
                <c:pt idx="4">
                  <c:v>commercial</c:v>
                </c:pt>
                <c:pt idx="5">
                  <c:v>comptable</c:v>
                </c:pt>
                <c:pt idx="6">
                  <c:v>directeur</c:v>
                </c:pt>
                <c:pt idx="7">
                  <c:v>gestion rh</c:v>
                </c:pt>
                <c:pt idx="8">
                  <c:v>logistique</c:v>
                </c:pt>
                <c:pt idx="9">
                  <c:v>opérateur</c:v>
                </c:pt>
                <c:pt idx="10">
                  <c:v>secrétaire</c:v>
                </c:pt>
                <c:pt idx="11">
                  <c:v>support informatique</c:v>
                </c:pt>
                <c:pt idx="12">
                  <c:v>technicien</c:v>
                </c:pt>
              </c:strCache>
            </c:strRef>
          </c:cat>
          <c:val>
            <c:numRef>
              <c:f>MIXITE!$E$102:$E$115</c:f>
              <c:numCache>
                <c:formatCode>0</c:formatCode>
                <c:ptCount val="13"/>
                <c:pt idx="0">
                  <c:v>2</c:v>
                </c:pt>
                <c:pt idx="1">
                  <c:v>4</c:v>
                </c:pt>
                <c:pt idx="2">
                  <c:v>4</c:v>
                </c:pt>
                <c:pt idx="3">
                  <c:v>19</c:v>
                </c:pt>
                <c:pt idx="4">
                  <c:v>15</c:v>
                </c:pt>
                <c:pt idx="5">
                  <c:v>5</c:v>
                </c:pt>
                <c:pt idx="6">
                  <c:v>5</c:v>
                </c:pt>
                <c:pt idx="7">
                  <c:v>1</c:v>
                </c:pt>
                <c:pt idx="8">
                  <c:v>3</c:v>
                </c:pt>
                <c:pt idx="9">
                  <c:v>120</c:v>
                </c:pt>
                <c:pt idx="10">
                  <c:v>6</c:v>
                </c:pt>
                <c:pt idx="11">
                  <c:v>6</c:v>
                </c:pt>
                <c:pt idx="12">
                  <c:v>10</c:v>
                </c:pt>
              </c:numCache>
            </c:numRef>
          </c:val>
          <c:extLst>
            <c:ext xmlns:c16="http://schemas.microsoft.com/office/drawing/2014/chart" uri="{C3380CC4-5D6E-409C-BE32-E72D297353CC}">
              <c16:uniqueId val="{00000003-8318-044C-B80B-C54BBA85CBF6}"/>
            </c:ext>
          </c:extLst>
        </c:ser>
        <c:ser>
          <c:idx val="1"/>
          <c:order val="1"/>
          <c:tx>
            <c:strRef>
              <c:f>MIXITE!$F$100:$F$101</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MIXITE!$D$102:$D$115</c:f>
              <c:strCache>
                <c:ptCount val="13"/>
                <c:pt idx="0">
                  <c:v>achat</c:v>
                </c:pt>
                <c:pt idx="1">
                  <c:v>agent de maintenance</c:v>
                </c:pt>
                <c:pt idx="2">
                  <c:v>assistante</c:v>
                </c:pt>
                <c:pt idx="3">
                  <c:v>chef d'équipe</c:v>
                </c:pt>
                <c:pt idx="4">
                  <c:v>commercial</c:v>
                </c:pt>
                <c:pt idx="5">
                  <c:v>comptable</c:v>
                </c:pt>
                <c:pt idx="6">
                  <c:v>directeur</c:v>
                </c:pt>
                <c:pt idx="7">
                  <c:v>gestion rh</c:v>
                </c:pt>
                <c:pt idx="8">
                  <c:v>logistique</c:v>
                </c:pt>
                <c:pt idx="9">
                  <c:v>opérateur</c:v>
                </c:pt>
                <c:pt idx="10">
                  <c:v>secrétaire</c:v>
                </c:pt>
                <c:pt idx="11">
                  <c:v>support informatique</c:v>
                </c:pt>
                <c:pt idx="12">
                  <c:v>technicien</c:v>
                </c:pt>
              </c:strCache>
            </c:strRef>
          </c:cat>
          <c:val>
            <c:numRef>
              <c:f>MIXITE!$F$102:$F$115</c:f>
              <c:numCache>
                <c:formatCode>0</c:formatCode>
                <c:ptCount val="13"/>
                <c:pt idx="0">
                  <c:v>3</c:v>
                </c:pt>
                <c:pt idx="1">
                  <c:v>1</c:v>
                </c:pt>
                <c:pt idx="2">
                  <c:v>1</c:v>
                </c:pt>
                <c:pt idx="3">
                  <c:v>7</c:v>
                </c:pt>
                <c:pt idx="4">
                  <c:v>10</c:v>
                </c:pt>
                <c:pt idx="5">
                  <c:v>1</c:v>
                </c:pt>
                <c:pt idx="6">
                  <c:v>6</c:v>
                </c:pt>
                <c:pt idx="7">
                  <c:v>4</c:v>
                </c:pt>
                <c:pt idx="8">
                  <c:v>2</c:v>
                </c:pt>
                <c:pt idx="9">
                  <c:v>73</c:v>
                </c:pt>
                <c:pt idx="11">
                  <c:v>6</c:v>
                </c:pt>
                <c:pt idx="12">
                  <c:v>6</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0000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dynamique8</c:name>
    <c:fmtId val="4"/>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emploi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MIXITE!$N$100:$N$101</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MIXITE!$M$102:$M$115</c:f>
              <c:strCache>
                <c:ptCount val="13"/>
                <c:pt idx="0">
                  <c:v>achat</c:v>
                </c:pt>
                <c:pt idx="1">
                  <c:v>agent de maintenance</c:v>
                </c:pt>
                <c:pt idx="2">
                  <c:v>assistante</c:v>
                </c:pt>
                <c:pt idx="3">
                  <c:v>chef d'équipe</c:v>
                </c:pt>
                <c:pt idx="4">
                  <c:v>commercial</c:v>
                </c:pt>
                <c:pt idx="5">
                  <c:v>comptable</c:v>
                </c:pt>
                <c:pt idx="6">
                  <c:v>directeur</c:v>
                </c:pt>
                <c:pt idx="7">
                  <c:v>gestion rh</c:v>
                </c:pt>
                <c:pt idx="8">
                  <c:v>logistique</c:v>
                </c:pt>
                <c:pt idx="9">
                  <c:v>opérateur</c:v>
                </c:pt>
                <c:pt idx="10">
                  <c:v>secrétaire</c:v>
                </c:pt>
                <c:pt idx="11">
                  <c:v>support informatique</c:v>
                </c:pt>
                <c:pt idx="12">
                  <c:v>technicien</c:v>
                </c:pt>
              </c:strCache>
            </c:strRef>
          </c:cat>
          <c:val>
            <c:numRef>
              <c:f>MIXITE!$N$102:$N$115</c:f>
              <c:numCache>
                <c:formatCode>0%</c:formatCode>
                <c:ptCount val="13"/>
                <c:pt idx="0">
                  <c:v>0.4</c:v>
                </c:pt>
                <c:pt idx="1">
                  <c:v>0.8</c:v>
                </c:pt>
                <c:pt idx="2">
                  <c:v>0.8</c:v>
                </c:pt>
                <c:pt idx="3">
                  <c:v>0.73076923076923073</c:v>
                </c:pt>
                <c:pt idx="4">
                  <c:v>0.6</c:v>
                </c:pt>
                <c:pt idx="5">
                  <c:v>0.83333333333333337</c:v>
                </c:pt>
                <c:pt idx="6">
                  <c:v>0.45454545454545453</c:v>
                </c:pt>
                <c:pt idx="7">
                  <c:v>0.2</c:v>
                </c:pt>
                <c:pt idx="8">
                  <c:v>0.6</c:v>
                </c:pt>
                <c:pt idx="9">
                  <c:v>0.62176165803108807</c:v>
                </c:pt>
                <c:pt idx="10">
                  <c:v>1</c:v>
                </c:pt>
                <c:pt idx="11">
                  <c:v>0.5</c:v>
                </c:pt>
                <c:pt idx="12">
                  <c:v>0.625</c:v>
                </c:pt>
              </c:numCache>
            </c:numRef>
          </c:val>
          <c:extLst>
            <c:ext xmlns:c16="http://schemas.microsoft.com/office/drawing/2014/chart" uri="{C3380CC4-5D6E-409C-BE32-E72D297353CC}">
              <c16:uniqueId val="{00000003-6F46-9648-AD16-9037C71852F9}"/>
            </c:ext>
          </c:extLst>
        </c:ser>
        <c:ser>
          <c:idx val="1"/>
          <c:order val="1"/>
          <c:tx>
            <c:strRef>
              <c:f>MIXITE!$O$100:$O$101</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MIXITE!$M$102:$M$115</c:f>
              <c:strCache>
                <c:ptCount val="13"/>
                <c:pt idx="0">
                  <c:v>achat</c:v>
                </c:pt>
                <c:pt idx="1">
                  <c:v>agent de maintenance</c:v>
                </c:pt>
                <c:pt idx="2">
                  <c:v>assistante</c:v>
                </c:pt>
                <c:pt idx="3">
                  <c:v>chef d'équipe</c:v>
                </c:pt>
                <c:pt idx="4">
                  <c:v>commercial</c:v>
                </c:pt>
                <c:pt idx="5">
                  <c:v>comptable</c:v>
                </c:pt>
                <c:pt idx="6">
                  <c:v>directeur</c:v>
                </c:pt>
                <c:pt idx="7">
                  <c:v>gestion rh</c:v>
                </c:pt>
                <c:pt idx="8">
                  <c:v>logistique</c:v>
                </c:pt>
                <c:pt idx="9">
                  <c:v>opérateur</c:v>
                </c:pt>
                <c:pt idx="10">
                  <c:v>secrétaire</c:v>
                </c:pt>
                <c:pt idx="11">
                  <c:v>support informatique</c:v>
                </c:pt>
                <c:pt idx="12">
                  <c:v>technicien</c:v>
                </c:pt>
              </c:strCache>
            </c:strRef>
          </c:cat>
          <c:val>
            <c:numRef>
              <c:f>MIXITE!$O$102:$O$115</c:f>
              <c:numCache>
                <c:formatCode>0%</c:formatCode>
                <c:ptCount val="13"/>
                <c:pt idx="0">
                  <c:v>0.6</c:v>
                </c:pt>
                <c:pt idx="1">
                  <c:v>0.2</c:v>
                </c:pt>
                <c:pt idx="2">
                  <c:v>0.2</c:v>
                </c:pt>
                <c:pt idx="3">
                  <c:v>0.26923076923076922</c:v>
                </c:pt>
                <c:pt idx="4">
                  <c:v>0.4</c:v>
                </c:pt>
                <c:pt idx="5">
                  <c:v>0.16666666666666666</c:v>
                </c:pt>
                <c:pt idx="6">
                  <c:v>0.54545454545454541</c:v>
                </c:pt>
                <c:pt idx="7">
                  <c:v>0.8</c:v>
                </c:pt>
                <c:pt idx="8">
                  <c:v>0.4</c:v>
                </c:pt>
                <c:pt idx="9">
                  <c:v>0.37823834196891193</c:v>
                </c:pt>
                <c:pt idx="10">
                  <c:v>0</c:v>
                </c:pt>
                <c:pt idx="11">
                  <c:v>0.5</c:v>
                </c:pt>
                <c:pt idx="12">
                  <c:v>0.375</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0000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dynamique6</c:name>
    <c:fmtId val="0"/>
  </c:pivotSource>
  <c:chart>
    <c:title>
      <c:tx>
        <c:rich>
          <a:bodyPr/>
          <a:lstStyle/>
          <a:p>
            <a:pPr>
              <a:defRPr sz="1100" b="1"/>
            </a:pPr>
            <a:r>
              <a:rPr lang="fr-FR"/>
              <a:t>Répartition par promotion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PARCOURS!$E$65:$E$66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PARCOURS!$D$67:$D$69</c:f>
              <c:strCache>
                <c:ptCount val="2"/>
                <c:pt idx="0">
                  <c:v>0</c:v>
                </c:pt>
                <c:pt idx="1">
                  <c:v>1</c:v>
                </c:pt>
              </c:strCache>
            </c:strRef>
          </c:cat>
          <c:val>
            <c:numRef>
              <c:f>PARCOURS!$E$67:$E$69</c:f>
              <c:numCache>
                <c:formatCode>General</c:formatCode>
                <c:ptCount val="2"/>
                <c:pt idx="0">
                  <c:v>117</c:v>
                </c:pt>
                <c:pt idx="1">
                  <c:v>83</c:v>
                </c:pt>
              </c:numCache>
            </c:numRef>
          </c:val>
          <c:extLst>
            <c:ext xmlns:c16="http://schemas.microsoft.com/office/drawing/2014/chart" uri="{C3380CC4-5D6E-409C-BE32-E72D297353CC}">
              <c16:uniqueId val="{00000003-8318-044C-B80B-C54BBA85CBF6}"/>
            </c:ext>
          </c:extLst>
        </c:ser>
        <c:ser>
          <c:idx val="1"/>
          <c:order val="1"/>
          <c:tx>
            <c:strRef>
              <c:f>PARCOURS!$F$65:$F$66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PARCOURS!$D$67:$D$69</c:f>
              <c:strCache>
                <c:ptCount val="2"/>
                <c:pt idx="0">
                  <c:v>0</c:v>
                </c:pt>
                <c:pt idx="1">
                  <c:v>1</c:v>
                </c:pt>
              </c:strCache>
            </c:strRef>
          </c:cat>
          <c:val>
            <c:numRef>
              <c:f>PARCOURS!$F$67:$F$69</c:f>
              <c:numCache>
                <c:formatCode>General</c:formatCode>
                <c:ptCount val="2"/>
                <c:pt idx="0">
                  <c:v>60</c:v>
                </c:pt>
                <c:pt idx="1">
                  <c:v>60</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dynamique7</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promotion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PARCOURS!$O$65:$O$66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PARCOURS!$N$67:$N$69</c:f>
              <c:strCache>
                <c:ptCount val="2"/>
                <c:pt idx="0">
                  <c:v>0</c:v>
                </c:pt>
                <c:pt idx="1">
                  <c:v>1</c:v>
                </c:pt>
              </c:strCache>
            </c:strRef>
          </c:cat>
          <c:val>
            <c:numRef>
              <c:f>PARCOURS!$O$67:$O$69</c:f>
              <c:numCache>
                <c:formatCode>0%</c:formatCode>
                <c:ptCount val="2"/>
                <c:pt idx="0">
                  <c:v>0.66101694915254239</c:v>
                </c:pt>
                <c:pt idx="1">
                  <c:v>0.58041958041958042</c:v>
                </c:pt>
              </c:numCache>
            </c:numRef>
          </c:val>
          <c:extLst>
            <c:ext xmlns:c16="http://schemas.microsoft.com/office/drawing/2014/chart" uri="{C3380CC4-5D6E-409C-BE32-E72D297353CC}">
              <c16:uniqueId val="{00000003-6F46-9648-AD16-9037C71852F9}"/>
            </c:ext>
          </c:extLst>
        </c:ser>
        <c:ser>
          <c:idx val="1"/>
          <c:order val="1"/>
          <c:tx>
            <c:strRef>
              <c:f>PARCOURS!$P$65:$P$66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PARCOURS!$N$67:$N$69</c:f>
              <c:strCache>
                <c:ptCount val="2"/>
                <c:pt idx="0">
                  <c:v>0</c:v>
                </c:pt>
                <c:pt idx="1">
                  <c:v>1</c:v>
                </c:pt>
              </c:strCache>
            </c:strRef>
          </c:cat>
          <c:val>
            <c:numRef>
              <c:f>PARCOURS!$P$67:$P$69</c:f>
              <c:numCache>
                <c:formatCode>0%</c:formatCode>
                <c:ptCount val="2"/>
                <c:pt idx="0">
                  <c:v>0.33898305084745761</c:v>
                </c:pt>
                <c:pt idx="1">
                  <c:v>0.41958041958041958</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dynamique2</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des promotions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PARCOURS!$Y$65:$Y$66</c:f>
              <c:strCache>
                <c:ptCount val="1"/>
                <c:pt idx="0">
                  <c:v>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PARCOURS!$X$67:$X$69</c:f>
              <c:strCache>
                <c:ptCount val="2"/>
                <c:pt idx="0">
                  <c:v>F</c:v>
                </c:pt>
                <c:pt idx="1">
                  <c:v>H</c:v>
                </c:pt>
              </c:strCache>
            </c:strRef>
          </c:cat>
          <c:val>
            <c:numRef>
              <c:f>PARCOURS!$Y$67:$Y$69</c:f>
              <c:numCache>
                <c:formatCode>0%</c:formatCode>
                <c:ptCount val="2"/>
                <c:pt idx="0">
                  <c:v>0.5</c:v>
                </c:pt>
                <c:pt idx="1">
                  <c:v>0.58499999999999996</c:v>
                </c:pt>
              </c:numCache>
            </c:numRef>
          </c:val>
          <c:extLst>
            <c:ext xmlns:c16="http://schemas.microsoft.com/office/drawing/2014/chart" uri="{C3380CC4-5D6E-409C-BE32-E72D297353CC}">
              <c16:uniqueId val="{00000003-6F46-9648-AD16-9037C71852F9}"/>
            </c:ext>
          </c:extLst>
        </c:ser>
        <c:ser>
          <c:idx val="1"/>
          <c:order val="1"/>
          <c:tx>
            <c:strRef>
              <c:f>PARCOURS!$Z$65:$Z$66</c:f>
              <c:strCache>
                <c:ptCount val="1"/>
                <c:pt idx="0">
                  <c:v>1</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PARCOURS!$X$67:$X$69</c:f>
              <c:strCache>
                <c:ptCount val="2"/>
                <c:pt idx="0">
                  <c:v>F</c:v>
                </c:pt>
                <c:pt idx="1">
                  <c:v>H</c:v>
                </c:pt>
              </c:strCache>
            </c:strRef>
          </c:cat>
          <c:val>
            <c:numRef>
              <c:f>PARCOURS!$Z$67:$Z$69</c:f>
              <c:numCache>
                <c:formatCode>0%</c:formatCode>
                <c:ptCount val="2"/>
                <c:pt idx="0">
                  <c:v>0.5</c:v>
                </c:pt>
                <c:pt idx="1">
                  <c:v>0.41499999999999998</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dynamique30</c:name>
    <c:fmtId val="0"/>
  </c:pivotSource>
  <c:chart>
    <c:title>
      <c:tx>
        <c:rich>
          <a:bodyPr/>
          <a:lstStyle/>
          <a:p>
            <a:pPr>
              <a:defRPr sz="1100" b="1"/>
            </a:pPr>
            <a:r>
              <a:rPr lang="fr-FR"/>
              <a:t>Répartition par tranches d'ancienneté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PARCOURS!$E$103:$E$104</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PARCOURS!$D$105:$D$114</c:f>
              <c:strCache>
                <c:ptCount val="9"/>
                <c:pt idx="0">
                  <c:v>1 : 1-4</c:v>
                </c:pt>
                <c:pt idx="1">
                  <c:v>2 : 5-9</c:v>
                </c:pt>
                <c:pt idx="2">
                  <c:v>3 : 10-14</c:v>
                </c:pt>
                <c:pt idx="3">
                  <c:v>4 : 15-19</c:v>
                </c:pt>
                <c:pt idx="4">
                  <c:v>5 : 20-24</c:v>
                </c:pt>
                <c:pt idx="5">
                  <c:v>6 : 25-29</c:v>
                </c:pt>
                <c:pt idx="6">
                  <c:v>7 : 30-34</c:v>
                </c:pt>
                <c:pt idx="7">
                  <c:v>8 : 35-39</c:v>
                </c:pt>
                <c:pt idx="8">
                  <c:v>9 : 40 et +</c:v>
                </c:pt>
              </c:strCache>
            </c:strRef>
          </c:cat>
          <c:val>
            <c:numRef>
              <c:f>PARCOURS!$E$105:$E$114</c:f>
              <c:numCache>
                <c:formatCode>General</c:formatCode>
                <c:ptCount val="9"/>
                <c:pt idx="0">
                  <c:v>17</c:v>
                </c:pt>
                <c:pt idx="1">
                  <c:v>57</c:v>
                </c:pt>
                <c:pt idx="2">
                  <c:v>46</c:v>
                </c:pt>
                <c:pt idx="3">
                  <c:v>24</c:v>
                </c:pt>
                <c:pt idx="4">
                  <c:v>20</c:v>
                </c:pt>
                <c:pt idx="5">
                  <c:v>12</c:v>
                </c:pt>
                <c:pt idx="6">
                  <c:v>9</c:v>
                </c:pt>
                <c:pt idx="7">
                  <c:v>11</c:v>
                </c:pt>
                <c:pt idx="8">
                  <c:v>4</c:v>
                </c:pt>
              </c:numCache>
            </c:numRef>
          </c:val>
          <c:extLst>
            <c:ext xmlns:c16="http://schemas.microsoft.com/office/drawing/2014/chart" uri="{C3380CC4-5D6E-409C-BE32-E72D297353CC}">
              <c16:uniqueId val="{00000003-8318-044C-B80B-C54BBA85CBF6}"/>
            </c:ext>
          </c:extLst>
        </c:ser>
        <c:ser>
          <c:idx val="1"/>
          <c:order val="1"/>
          <c:tx>
            <c:strRef>
              <c:f>PARCOURS!$F$103:$F$104</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PARCOURS!$D$105:$D$114</c:f>
              <c:strCache>
                <c:ptCount val="9"/>
                <c:pt idx="0">
                  <c:v>1 : 1-4</c:v>
                </c:pt>
                <c:pt idx="1">
                  <c:v>2 : 5-9</c:v>
                </c:pt>
                <c:pt idx="2">
                  <c:v>3 : 10-14</c:v>
                </c:pt>
                <c:pt idx="3">
                  <c:v>4 : 15-19</c:v>
                </c:pt>
                <c:pt idx="4">
                  <c:v>5 : 20-24</c:v>
                </c:pt>
                <c:pt idx="5">
                  <c:v>6 : 25-29</c:v>
                </c:pt>
                <c:pt idx="6">
                  <c:v>7 : 30-34</c:v>
                </c:pt>
                <c:pt idx="7">
                  <c:v>8 : 35-39</c:v>
                </c:pt>
                <c:pt idx="8">
                  <c:v>9 : 40 et +</c:v>
                </c:pt>
              </c:strCache>
            </c:strRef>
          </c:cat>
          <c:val>
            <c:numRef>
              <c:f>PARCOURS!$F$105:$F$114</c:f>
              <c:numCache>
                <c:formatCode>General</c:formatCode>
                <c:ptCount val="9"/>
                <c:pt idx="0">
                  <c:v>13</c:v>
                </c:pt>
                <c:pt idx="1">
                  <c:v>40</c:v>
                </c:pt>
                <c:pt idx="2">
                  <c:v>23</c:v>
                </c:pt>
                <c:pt idx="3">
                  <c:v>21</c:v>
                </c:pt>
                <c:pt idx="4">
                  <c:v>12</c:v>
                </c:pt>
                <c:pt idx="5">
                  <c:v>4</c:v>
                </c:pt>
                <c:pt idx="6">
                  <c:v>4</c:v>
                </c:pt>
                <c:pt idx="7">
                  <c:v>2</c:v>
                </c:pt>
                <c:pt idx="8">
                  <c:v>1</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3-1.xlsx]PARCOURS!PivotTable10</c:name>
    <c:fmtId val="0"/>
  </c:pivotSource>
  <c:chart>
    <c:title>
      <c:tx>
        <c:rich>
          <a:bodyPr/>
          <a:lstStyle/>
          <a:p>
            <a:pPr>
              <a:defRPr sz="1100" b="1"/>
            </a:pPr>
            <a:r>
              <a:rPr lang="fr-FR"/>
              <a:t>Ancienneté moyenne par scatégorie des F et des H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PARCOURS!$O$103:$O$104</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PARCOURS!$N$105:$N$109</c:f>
              <c:strCache>
                <c:ptCount val="4"/>
                <c:pt idx="0">
                  <c:v>1-OUVRIER</c:v>
                </c:pt>
                <c:pt idx="1">
                  <c:v>2-EMPLOYE</c:v>
                </c:pt>
                <c:pt idx="2">
                  <c:v>3-TAM</c:v>
                </c:pt>
                <c:pt idx="3">
                  <c:v>4-CADRE</c:v>
                </c:pt>
              </c:strCache>
            </c:strRef>
          </c:cat>
          <c:val>
            <c:numRef>
              <c:f>PARCOURS!$O$105:$O$109</c:f>
              <c:numCache>
                <c:formatCode>_-* #,##0_€_-;\-* #,##0_€_-;_-* "-"??_€_-;_-@_-</c:formatCode>
                <c:ptCount val="4"/>
                <c:pt idx="0">
                  <c:v>12.646551724137931</c:v>
                </c:pt>
                <c:pt idx="1">
                  <c:v>24.5</c:v>
                </c:pt>
                <c:pt idx="2">
                  <c:v>13.712121212121213</c:v>
                </c:pt>
                <c:pt idx="3">
                  <c:v>26.8</c:v>
                </c:pt>
              </c:numCache>
            </c:numRef>
          </c:val>
          <c:extLst>
            <c:ext xmlns:c16="http://schemas.microsoft.com/office/drawing/2014/chart" uri="{C3380CC4-5D6E-409C-BE32-E72D297353CC}">
              <c16:uniqueId val="{00000003-8318-044C-B80B-C54BBA85CBF6}"/>
            </c:ext>
          </c:extLst>
        </c:ser>
        <c:ser>
          <c:idx val="1"/>
          <c:order val="1"/>
          <c:tx>
            <c:strRef>
              <c:f>PARCOURS!$P$103:$P$104</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PARCOURS!$N$105:$N$109</c:f>
              <c:strCache>
                <c:ptCount val="4"/>
                <c:pt idx="0">
                  <c:v>1-OUVRIER</c:v>
                </c:pt>
                <c:pt idx="1">
                  <c:v>2-EMPLOYE</c:v>
                </c:pt>
                <c:pt idx="2">
                  <c:v>3-TAM</c:v>
                </c:pt>
                <c:pt idx="3">
                  <c:v>4-CADRE</c:v>
                </c:pt>
              </c:strCache>
            </c:strRef>
          </c:cat>
          <c:val>
            <c:numRef>
              <c:f>PARCOURS!$P$105:$P$109</c:f>
              <c:numCache>
                <c:formatCode>_-* #,##0_€_-;\-* #,##0_€_-;_-* "-"??_€_-;_-@_-</c:formatCode>
                <c:ptCount val="4"/>
                <c:pt idx="0">
                  <c:v>12.578947368421053</c:v>
                </c:pt>
                <c:pt idx="1">
                  <c:v>7.5185185185185182</c:v>
                </c:pt>
                <c:pt idx="2">
                  <c:v>13.121212121212121</c:v>
                </c:pt>
                <c:pt idx="3">
                  <c:v>26</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_-* #,##0_€_-;\-* #,##0_€_-;_-* &quot;-&quot;??_€_-;_-@_-"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dynamique31</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tranches d'ancienneté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PARCOURS!$Y$103:$Y$104</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PARCOURS!$X$105:$X$114</c:f>
              <c:strCache>
                <c:ptCount val="9"/>
                <c:pt idx="0">
                  <c:v>1 : 1-4</c:v>
                </c:pt>
                <c:pt idx="1">
                  <c:v>2 : 5-9</c:v>
                </c:pt>
                <c:pt idx="2">
                  <c:v>3 : 10-14</c:v>
                </c:pt>
                <c:pt idx="3">
                  <c:v>4 : 15-19</c:v>
                </c:pt>
                <c:pt idx="4">
                  <c:v>5 : 20-24</c:v>
                </c:pt>
                <c:pt idx="5">
                  <c:v>6 : 25-29</c:v>
                </c:pt>
                <c:pt idx="6">
                  <c:v>7 : 30-34</c:v>
                </c:pt>
                <c:pt idx="7">
                  <c:v>8 : 35-39</c:v>
                </c:pt>
                <c:pt idx="8">
                  <c:v>9 : 40 et +</c:v>
                </c:pt>
              </c:strCache>
            </c:strRef>
          </c:cat>
          <c:val>
            <c:numRef>
              <c:f>PARCOURS!$Y$105:$Y$114</c:f>
              <c:numCache>
                <c:formatCode>0%</c:formatCode>
                <c:ptCount val="9"/>
                <c:pt idx="0">
                  <c:v>0.56666666666666665</c:v>
                </c:pt>
                <c:pt idx="1">
                  <c:v>0.58762886597938147</c:v>
                </c:pt>
                <c:pt idx="2">
                  <c:v>0.66666666666666663</c:v>
                </c:pt>
                <c:pt idx="3">
                  <c:v>0.53333333333333333</c:v>
                </c:pt>
                <c:pt idx="4">
                  <c:v>0.625</c:v>
                </c:pt>
                <c:pt idx="5">
                  <c:v>0.75</c:v>
                </c:pt>
                <c:pt idx="6">
                  <c:v>0.69230769230769229</c:v>
                </c:pt>
                <c:pt idx="7">
                  <c:v>0.84615384615384615</c:v>
                </c:pt>
                <c:pt idx="8">
                  <c:v>0.8</c:v>
                </c:pt>
              </c:numCache>
            </c:numRef>
          </c:val>
          <c:extLst>
            <c:ext xmlns:c16="http://schemas.microsoft.com/office/drawing/2014/chart" uri="{C3380CC4-5D6E-409C-BE32-E72D297353CC}">
              <c16:uniqueId val="{00000003-6F46-9648-AD16-9037C71852F9}"/>
            </c:ext>
          </c:extLst>
        </c:ser>
        <c:ser>
          <c:idx val="1"/>
          <c:order val="1"/>
          <c:tx>
            <c:strRef>
              <c:f>PARCOURS!$Z$103:$Z$104</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PARCOURS!$X$105:$X$114</c:f>
              <c:strCache>
                <c:ptCount val="9"/>
                <c:pt idx="0">
                  <c:v>1 : 1-4</c:v>
                </c:pt>
                <c:pt idx="1">
                  <c:v>2 : 5-9</c:v>
                </c:pt>
                <c:pt idx="2">
                  <c:v>3 : 10-14</c:v>
                </c:pt>
                <c:pt idx="3">
                  <c:v>4 : 15-19</c:v>
                </c:pt>
                <c:pt idx="4">
                  <c:v>5 : 20-24</c:v>
                </c:pt>
                <c:pt idx="5">
                  <c:v>6 : 25-29</c:v>
                </c:pt>
                <c:pt idx="6">
                  <c:v>7 : 30-34</c:v>
                </c:pt>
                <c:pt idx="7">
                  <c:v>8 : 35-39</c:v>
                </c:pt>
                <c:pt idx="8">
                  <c:v>9 : 40 et +</c:v>
                </c:pt>
              </c:strCache>
            </c:strRef>
          </c:cat>
          <c:val>
            <c:numRef>
              <c:f>PARCOURS!$Z$105:$Z$114</c:f>
              <c:numCache>
                <c:formatCode>0%</c:formatCode>
                <c:ptCount val="9"/>
                <c:pt idx="0">
                  <c:v>0.43333333333333335</c:v>
                </c:pt>
                <c:pt idx="1">
                  <c:v>0.41237113402061853</c:v>
                </c:pt>
                <c:pt idx="2">
                  <c:v>0.33333333333333331</c:v>
                </c:pt>
                <c:pt idx="3">
                  <c:v>0.46666666666666667</c:v>
                </c:pt>
                <c:pt idx="4">
                  <c:v>0.375</c:v>
                </c:pt>
                <c:pt idx="5">
                  <c:v>0.25</c:v>
                </c:pt>
                <c:pt idx="6">
                  <c:v>0.30769230769230771</c:v>
                </c:pt>
                <c:pt idx="7">
                  <c:v>0.15384615384615385</c:v>
                </c:pt>
                <c:pt idx="8">
                  <c:v>0.2</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dynamique32</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des tranches d'ancienneté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PARCOURS!$AD$103:$AD$104</c:f>
              <c:strCache>
                <c:ptCount val="1"/>
                <c:pt idx="0">
                  <c:v>3 : 10-14</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PARCOURS!$AD$105:$AD$107</c:f>
              <c:numCache>
                <c:formatCode>0%</c:formatCode>
                <c:ptCount val="2"/>
                <c:pt idx="0">
                  <c:v>0.33333333333333331</c:v>
                </c:pt>
                <c:pt idx="1">
                  <c:v>0.66666666666666663</c:v>
                </c:pt>
              </c:numCache>
            </c:numRef>
          </c:val>
          <c:extLst>
            <c:ext xmlns:c16="http://schemas.microsoft.com/office/drawing/2014/chart" uri="{C3380CC4-5D6E-409C-BE32-E72D297353CC}">
              <c16:uniqueId val="{00000003-6F46-9648-AD16-9037C71852F9}"/>
            </c:ext>
          </c:extLst>
        </c:ser>
        <c:ser>
          <c:idx val="1"/>
          <c:order val="1"/>
          <c:tx>
            <c:strRef>
              <c:f>PARCOURS!$AE$103:$AE$104</c:f>
              <c:strCache>
                <c:ptCount val="1"/>
                <c:pt idx="0">
                  <c:v>4 : 15-19</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PARCOURS!$AE$105:$AE$107</c:f>
              <c:numCache>
                <c:formatCode>0%</c:formatCode>
                <c:ptCount val="2"/>
                <c:pt idx="0">
                  <c:v>0.46666666666666667</c:v>
                </c:pt>
                <c:pt idx="1">
                  <c:v>0.53333333333333333</c:v>
                </c:pt>
              </c:numCache>
            </c:numRef>
          </c:val>
          <c:extLst>
            <c:ext xmlns:c16="http://schemas.microsoft.com/office/drawing/2014/chart" uri="{C3380CC4-5D6E-409C-BE32-E72D297353CC}">
              <c16:uniqueId val="{00000004-6F46-9648-AD16-9037C71852F9}"/>
            </c:ext>
          </c:extLst>
        </c:ser>
        <c:ser>
          <c:idx val="2"/>
          <c:order val="2"/>
          <c:tx>
            <c:strRef>
              <c:f>PARCOURS!$AF$103:$AF$104</c:f>
              <c:strCache>
                <c:ptCount val="1"/>
                <c:pt idx="0">
                  <c:v>5 : 20-24</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PARCOURS!$AF$105:$AF$107</c:f>
              <c:numCache>
                <c:formatCode>0%</c:formatCode>
                <c:ptCount val="2"/>
                <c:pt idx="0">
                  <c:v>0.375</c:v>
                </c:pt>
                <c:pt idx="1">
                  <c:v>0.625</c:v>
                </c:pt>
              </c:numCache>
            </c:numRef>
          </c:val>
          <c:extLst>
            <c:ext xmlns:c16="http://schemas.microsoft.com/office/drawing/2014/chart" uri="{C3380CC4-5D6E-409C-BE32-E72D297353CC}">
              <c16:uniqueId val="{00000003-82B9-C046-A30C-CA0067396CFF}"/>
            </c:ext>
          </c:extLst>
        </c:ser>
        <c:ser>
          <c:idx val="3"/>
          <c:order val="3"/>
          <c:tx>
            <c:strRef>
              <c:f>PARCOURS!$AG$103:$AG$104</c:f>
              <c:strCache>
                <c:ptCount val="1"/>
                <c:pt idx="0">
                  <c:v>6 : 25-29</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B9-C046-A30C-CA0067396CF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B9-C046-A30C-CA0067396CFF}"/>
                </c:ext>
              </c:extLst>
            </c:dLbl>
            <c:spPr>
              <a:noFill/>
              <a:ln>
                <a:noFill/>
              </a:ln>
              <a:effectLst/>
            </c:spPr>
            <c:txPr>
              <a:bodyPr wrap="square" lIns="38100" tIns="19050" rIns="38100" bIns="19050" anchor="ctr">
                <a:spAutoFit/>
              </a:bodyPr>
              <a:lstStyle/>
              <a:p>
                <a:pPr>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PARCOURS!$AG$105:$AG$107</c:f>
              <c:numCache>
                <c:formatCode>0%</c:formatCode>
                <c:ptCount val="2"/>
                <c:pt idx="0">
                  <c:v>0.25</c:v>
                </c:pt>
                <c:pt idx="1">
                  <c:v>0.75</c:v>
                </c:pt>
              </c:numCache>
            </c:numRef>
          </c:val>
          <c:extLst>
            <c:ext xmlns:c16="http://schemas.microsoft.com/office/drawing/2014/chart" uri="{C3380CC4-5D6E-409C-BE32-E72D297353CC}">
              <c16:uniqueId val="{00000004-82B9-C046-A30C-CA0067396CFF}"/>
            </c:ext>
          </c:extLst>
        </c:ser>
        <c:ser>
          <c:idx val="4"/>
          <c:order val="4"/>
          <c:tx>
            <c:strRef>
              <c:f>PARCOURS!$AH$103:$AH$104</c:f>
              <c:strCache>
                <c:ptCount val="1"/>
                <c:pt idx="0">
                  <c:v>7 : 30-34</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PARCOURS!$AH$105:$AH$107</c:f>
              <c:numCache>
                <c:formatCode>0%</c:formatCode>
                <c:ptCount val="2"/>
                <c:pt idx="0">
                  <c:v>0.30769230769230771</c:v>
                </c:pt>
                <c:pt idx="1">
                  <c:v>0.69230769230769229</c:v>
                </c:pt>
              </c:numCache>
            </c:numRef>
          </c:val>
          <c:extLst>
            <c:ext xmlns:c16="http://schemas.microsoft.com/office/drawing/2014/chart" uri="{C3380CC4-5D6E-409C-BE32-E72D297353CC}">
              <c16:uniqueId val="{00000005-82B9-C046-A30C-CA0067396CFF}"/>
            </c:ext>
          </c:extLst>
        </c:ser>
        <c:ser>
          <c:idx val="5"/>
          <c:order val="5"/>
          <c:tx>
            <c:strRef>
              <c:f>PARCOURS!$AI$103:$AI$104</c:f>
              <c:strCache>
                <c:ptCount val="1"/>
                <c:pt idx="0">
                  <c:v>8 : 35-39</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PARCOURS!$AI$105:$AI$107</c:f>
              <c:numCache>
                <c:formatCode>0%</c:formatCode>
                <c:ptCount val="2"/>
                <c:pt idx="0">
                  <c:v>0.15384615384615385</c:v>
                </c:pt>
                <c:pt idx="1">
                  <c:v>0.84615384615384615</c:v>
                </c:pt>
              </c:numCache>
            </c:numRef>
          </c:val>
          <c:extLst>
            <c:ext xmlns:c16="http://schemas.microsoft.com/office/drawing/2014/chart" uri="{C3380CC4-5D6E-409C-BE32-E72D297353CC}">
              <c16:uniqueId val="{00000006-82B9-C046-A30C-CA0067396CFF}"/>
            </c:ext>
          </c:extLst>
        </c:ser>
        <c:ser>
          <c:idx val="6"/>
          <c:order val="6"/>
          <c:tx>
            <c:strRef>
              <c:f>PARCOURS!$AJ$103:$AJ$104</c:f>
              <c:strCache>
                <c:ptCount val="1"/>
                <c:pt idx="0">
                  <c:v>9 : 40 et +</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PARCOURS!$AJ$105:$AJ$107</c:f>
              <c:numCache>
                <c:formatCode>0%</c:formatCode>
                <c:ptCount val="2"/>
                <c:pt idx="0">
                  <c:v>0.2</c:v>
                </c:pt>
                <c:pt idx="1">
                  <c:v>0.8</c:v>
                </c:pt>
              </c:numCache>
            </c:numRef>
          </c:val>
          <c:extLst>
            <c:ext xmlns:c16="http://schemas.microsoft.com/office/drawing/2014/chart" uri="{C3380CC4-5D6E-409C-BE32-E72D297353CC}">
              <c16:uniqueId val="{00000007-82B9-C046-A30C-CA0067396CFF}"/>
            </c:ext>
          </c:extLst>
        </c:ser>
        <c:ser>
          <c:idx val="7"/>
          <c:order val="7"/>
          <c:tx>
            <c:strRef>
              <c:f>PARCOURS!$AK$103:$AK$104</c:f>
              <c:strCache>
                <c:ptCount val="1"/>
                <c:pt idx="0">
                  <c:v>1 : 1-4</c:v>
                </c:pt>
              </c:strCache>
            </c:strRef>
          </c:tx>
          <c:invertIfNegative val="0"/>
          <c:dLbls>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PARCOURS!$AK$105:$AK$107</c:f>
              <c:numCache>
                <c:formatCode>0%</c:formatCode>
                <c:ptCount val="2"/>
                <c:pt idx="0">
                  <c:v>0.43333333333333335</c:v>
                </c:pt>
                <c:pt idx="1">
                  <c:v>0.56666666666666665</c:v>
                </c:pt>
              </c:numCache>
            </c:numRef>
          </c:val>
          <c:extLst>
            <c:ext xmlns:c16="http://schemas.microsoft.com/office/drawing/2014/chart" uri="{C3380CC4-5D6E-409C-BE32-E72D297353CC}">
              <c16:uniqueId val="{00000008-82B9-C046-A30C-CA0067396CFF}"/>
            </c:ext>
          </c:extLst>
        </c:ser>
        <c:ser>
          <c:idx val="8"/>
          <c:order val="8"/>
          <c:tx>
            <c:strRef>
              <c:f>PARCOURS!$AL$103:$AL$104</c:f>
              <c:strCache>
                <c:ptCount val="1"/>
                <c:pt idx="0">
                  <c:v>2 : 5-9</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PARCOURS!$AC$105:$AC$107</c:f>
              <c:strCache>
                <c:ptCount val="2"/>
                <c:pt idx="0">
                  <c:v>F</c:v>
                </c:pt>
                <c:pt idx="1">
                  <c:v>H</c:v>
                </c:pt>
              </c:strCache>
            </c:strRef>
          </c:cat>
          <c:val>
            <c:numRef>
              <c:f>PARCOURS!$AL$105:$AL$107</c:f>
              <c:numCache>
                <c:formatCode>0%</c:formatCode>
                <c:ptCount val="2"/>
                <c:pt idx="0">
                  <c:v>0.41237113402061853</c:v>
                </c:pt>
                <c:pt idx="1">
                  <c:v>0.58762886597938147</c:v>
                </c:pt>
              </c:numCache>
            </c:numRef>
          </c:val>
          <c:extLst>
            <c:ext xmlns:c16="http://schemas.microsoft.com/office/drawing/2014/chart" uri="{C3380CC4-5D6E-409C-BE32-E72D297353CC}">
              <c16:uniqueId val="{00000009-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dynamique2</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dans les services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MIXITE!$W$25:$W$26</c:f>
              <c:strCache>
                <c:ptCount val="1"/>
                <c:pt idx="0">
                  <c:v>PROD</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MIXITE!$V$27:$V$29</c:f>
              <c:strCache>
                <c:ptCount val="2"/>
                <c:pt idx="0">
                  <c:v>F</c:v>
                </c:pt>
                <c:pt idx="1">
                  <c:v>H</c:v>
                </c:pt>
              </c:strCache>
            </c:strRef>
          </c:cat>
          <c:val>
            <c:numRef>
              <c:f>MIXITE!$W$27:$W$29</c:f>
              <c:numCache>
                <c:formatCode>0%</c:formatCode>
                <c:ptCount val="2"/>
                <c:pt idx="0">
                  <c:v>0.73333333333333328</c:v>
                </c:pt>
                <c:pt idx="1">
                  <c:v>0.77</c:v>
                </c:pt>
              </c:numCache>
            </c:numRef>
          </c:val>
          <c:extLst>
            <c:ext xmlns:c16="http://schemas.microsoft.com/office/drawing/2014/chart" uri="{C3380CC4-5D6E-409C-BE32-E72D297353CC}">
              <c16:uniqueId val="{00000003-6F46-9648-AD16-9037C71852F9}"/>
            </c:ext>
          </c:extLst>
        </c:ser>
        <c:ser>
          <c:idx val="1"/>
          <c:order val="1"/>
          <c:tx>
            <c:strRef>
              <c:f>MIXITE!$X$25:$X$26</c:f>
              <c:strCache>
                <c:ptCount val="1"/>
                <c:pt idx="0">
                  <c:v>SA</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MIXITE!$V$27:$V$29</c:f>
              <c:strCache>
                <c:ptCount val="2"/>
                <c:pt idx="0">
                  <c:v>F</c:v>
                </c:pt>
                <c:pt idx="1">
                  <c:v>H</c:v>
                </c:pt>
              </c:strCache>
            </c:strRef>
          </c:cat>
          <c:val>
            <c:numRef>
              <c:f>MIXITE!$X$27:$X$29</c:f>
              <c:numCache>
                <c:formatCode>0%</c:formatCode>
                <c:ptCount val="2"/>
                <c:pt idx="0">
                  <c:v>0.21666666666666667</c:v>
                </c:pt>
                <c:pt idx="1">
                  <c:v>0.20499999999999999</c:v>
                </c:pt>
              </c:numCache>
            </c:numRef>
          </c:val>
          <c:extLst>
            <c:ext xmlns:c16="http://schemas.microsoft.com/office/drawing/2014/chart" uri="{C3380CC4-5D6E-409C-BE32-E72D297353CC}">
              <c16:uniqueId val="{00000004-6F46-9648-AD16-9037C71852F9}"/>
            </c:ext>
          </c:extLst>
        </c:ser>
        <c:ser>
          <c:idx val="2"/>
          <c:order val="2"/>
          <c:tx>
            <c:strRef>
              <c:f>MIXITE!$Y$25:$Y$26</c:f>
              <c:strCache>
                <c:ptCount val="1"/>
                <c:pt idx="0">
                  <c:v>DIR</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MIXITE!$V$27:$V$29</c:f>
              <c:strCache>
                <c:ptCount val="2"/>
                <c:pt idx="0">
                  <c:v>F</c:v>
                </c:pt>
                <c:pt idx="1">
                  <c:v>H</c:v>
                </c:pt>
              </c:strCache>
            </c:strRef>
          </c:cat>
          <c:val>
            <c:numRef>
              <c:f>MIXITE!$Y$27:$Y$29</c:f>
              <c:numCache>
                <c:formatCode>0%</c:formatCode>
                <c:ptCount val="2"/>
                <c:pt idx="0">
                  <c:v>0.05</c:v>
                </c:pt>
                <c:pt idx="1">
                  <c:v>2.5000000000000001E-2</c:v>
                </c:pt>
              </c:numCache>
            </c:numRef>
          </c:val>
          <c:extLst>
            <c:ext xmlns:c16="http://schemas.microsoft.com/office/drawing/2014/chart" uri="{C3380CC4-5D6E-409C-BE32-E72D297353CC}">
              <c16:uniqueId val="{00000003-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dynamique33</c:name>
    <c:fmtId val="0"/>
  </c:pivotSource>
  <c:chart>
    <c:title>
      <c:tx>
        <c:rich>
          <a:bodyPr/>
          <a:lstStyle/>
          <a:p>
            <a:pPr>
              <a:defRPr sz="1100" b="1"/>
            </a:pPr>
            <a:r>
              <a:rPr lang="fr-FR"/>
              <a:t>Répartition par niveau de classification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PARCOURS!$E$153:$E$154</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PARCOURS!$D$155:$D$161</c:f>
              <c:strCache>
                <c:ptCount val="6"/>
                <c:pt idx="0">
                  <c:v>100</c:v>
                </c:pt>
                <c:pt idx="1">
                  <c:v>200</c:v>
                </c:pt>
                <c:pt idx="2">
                  <c:v>300</c:v>
                </c:pt>
                <c:pt idx="3">
                  <c:v>400</c:v>
                </c:pt>
                <c:pt idx="4">
                  <c:v>500</c:v>
                </c:pt>
                <c:pt idx="5">
                  <c:v>700</c:v>
                </c:pt>
              </c:strCache>
            </c:strRef>
          </c:cat>
          <c:val>
            <c:numRef>
              <c:f>PARCOURS!$E$155:$E$161</c:f>
              <c:numCache>
                <c:formatCode>General</c:formatCode>
                <c:ptCount val="6"/>
                <c:pt idx="0">
                  <c:v>25</c:v>
                </c:pt>
                <c:pt idx="1">
                  <c:v>49</c:v>
                </c:pt>
                <c:pt idx="2">
                  <c:v>56</c:v>
                </c:pt>
                <c:pt idx="3">
                  <c:v>29</c:v>
                </c:pt>
                <c:pt idx="4">
                  <c:v>37</c:v>
                </c:pt>
                <c:pt idx="5">
                  <c:v>4</c:v>
                </c:pt>
              </c:numCache>
            </c:numRef>
          </c:val>
          <c:extLst>
            <c:ext xmlns:c16="http://schemas.microsoft.com/office/drawing/2014/chart" uri="{C3380CC4-5D6E-409C-BE32-E72D297353CC}">
              <c16:uniqueId val="{00000003-8318-044C-B80B-C54BBA85CBF6}"/>
            </c:ext>
          </c:extLst>
        </c:ser>
        <c:ser>
          <c:idx val="1"/>
          <c:order val="1"/>
          <c:tx>
            <c:strRef>
              <c:f>PARCOURS!$F$153:$F$154</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PARCOURS!$D$155:$D$161</c:f>
              <c:strCache>
                <c:ptCount val="6"/>
                <c:pt idx="0">
                  <c:v>100</c:v>
                </c:pt>
                <c:pt idx="1">
                  <c:v>200</c:v>
                </c:pt>
                <c:pt idx="2">
                  <c:v>300</c:v>
                </c:pt>
                <c:pt idx="3">
                  <c:v>400</c:v>
                </c:pt>
                <c:pt idx="4">
                  <c:v>500</c:v>
                </c:pt>
                <c:pt idx="5">
                  <c:v>700</c:v>
                </c:pt>
              </c:strCache>
            </c:strRef>
          </c:cat>
          <c:val>
            <c:numRef>
              <c:f>PARCOURS!$F$155:$F$161</c:f>
              <c:numCache>
                <c:formatCode>General</c:formatCode>
                <c:ptCount val="6"/>
                <c:pt idx="0">
                  <c:v>14</c:v>
                </c:pt>
                <c:pt idx="1">
                  <c:v>26</c:v>
                </c:pt>
                <c:pt idx="2">
                  <c:v>28</c:v>
                </c:pt>
                <c:pt idx="3">
                  <c:v>18</c:v>
                </c:pt>
                <c:pt idx="4">
                  <c:v>28</c:v>
                </c:pt>
                <c:pt idx="5">
                  <c:v>6</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dynamique35</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niveau de classification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PARCOURS!$O$153:$O$154</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PARCOURS!$N$155:$N$161</c:f>
              <c:strCache>
                <c:ptCount val="6"/>
                <c:pt idx="0">
                  <c:v>100</c:v>
                </c:pt>
                <c:pt idx="1">
                  <c:v>200</c:v>
                </c:pt>
                <c:pt idx="2">
                  <c:v>300</c:v>
                </c:pt>
                <c:pt idx="3">
                  <c:v>400</c:v>
                </c:pt>
                <c:pt idx="4">
                  <c:v>500</c:v>
                </c:pt>
                <c:pt idx="5">
                  <c:v>700</c:v>
                </c:pt>
              </c:strCache>
            </c:strRef>
          </c:cat>
          <c:val>
            <c:numRef>
              <c:f>PARCOURS!$O$155:$O$161</c:f>
              <c:numCache>
                <c:formatCode>0%</c:formatCode>
                <c:ptCount val="6"/>
                <c:pt idx="0">
                  <c:v>0.64102564102564108</c:v>
                </c:pt>
                <c:pt idx="1">
                  <c:v>0.65333333333333332</c:v>
                </c:pt>
                <c:pt idx="2">
                  <c:v>0.66666666666666663</c:v>
                </c:pt>
                <c:pt idx="3">
                  <c:v>0.61702127659574468</c:v>
                </c:pt>
                <c:pt idx="4">
                  <c:v>0.56923076923076921</c:v>
                </c:pt>
                <c:pt idx="5">
                  <c:v>0.4</c:v>
                </c:pt>
              </c:numCache>
            </c:numRef>
          </c:val>
          <c:extLst>
            <c:ext xmlns:c16="http://schemas.microsoft.com/office/drawing/2014/chart" uri="{C3380CC4-5D6E-409C-BE32-E72D297353CC}">
              <c16:uniqueId val="{00000003-6F46-9648-AD16-9037C71852F9}"/>
            </c:ext>
          </c:extLst>
        </c:ser>
        <c:ser>
          <c:idx val="1"/>
          <c:order val="1"/>
          <c:tx>
            <c:strRef>
              <c:f>PARCOURS!$P$153:$P$154</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PARCOURS!$N$155:$N$161</c:f>
              <c:strCache>
                <c:ptCount val="6"/>
                <c:pt idx="0">
                  <c:v>100</c:v>
                </c:pt>
                <c:pt idx="1">
                  <c:v>200</c:v>
                </c:pt>
                <c:pt idx="2">
                  <c:v>300</c:v>
                </c:pt>
                <c:pt idx="3">
                  <c:v>400</c:v>
                </c:pt>
                <c:pt idx="4">
                  <c:v>500</c:v>
                </c:pt>
                <c:pt idx="5">
                  <c:v>700</c:v>
                </c:pt>
              </c:strCache>
            </c:strRef>
          </c:cat>
          <c:val>
            <c:numRef>
              <c:f>PARCOURS!$P$155:$P$161</c:f>
              <c:numCache>
                <c:formatCode>0%</c:formatCode>
                <c:ptCount val="6"/>
                <c:pt idx="0">
                  <c:v>0.35897435897435898</c:v>
                </c:pt>
                <c:pt idx="1">
                  <c:v>0.34666666666666668</c:v>
                </c:pt>
                <c:pt idx="2">
                  <c:v>0.33333333333333331</c:v>
                </c:pt>
                <c:pt idx="3">
                  <c:v>0.38297872340425532</c:v>
                </c:pt>
                <c:pt idx="4">
                  <c:v>0.43076923076923079</c:v>
                </c:pt>
                <c:pt idx="5">
                  <c:v>0.6</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Calibri"/>
                <a:ea typeface="Calibri"/>
                <a:cs typeface="Calibri"/>
              </a:defRPr>
            </a:pPr>
            <a:r>
              <a:rPr lang="fr-FR"/>
              <a:t>Répartition par sexe dans les niveaux de classification</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PARCOURS!$Y$154</c:f>
              <c:strCache>
                <c:ptCount val="1"/>
                <c:pt idx="0">
                  <c:v>100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PARCOURS!$X$155:$X$157</c:f>
              <c:strCache>
                <c:ptCount val="3"/>
                <c:pt idx="0">
                  <c:v>F</c:v>
                </c:pt>
                <c:pt idx="1">
                  <c:v>H</c:v>
                </c:pt>
                <c:pt idx="2">
                  <c:v>Total général</c:v>
                </c:pt>
              </c:strCache>
            </c:strRef>
          </c:cat>
          <c:val>
            <c:numRef>
              <c:f>PARCOURS!$Y$155:$Y$157</c:f>
              <c:numCache>
                <c:formatCode>0%</c:formatCode>
                <c:ptCount val="3"/>
                <c:pt idx="0">
                  <c:v>0.11666666666666667</c:v>
                </c:pt>
                <c:pt idx="1">
                  <c:v>0.125</c:v>
                </c:pt>
                <c:pt idx="2">
                  <c:v>0.121875</c:v>
                </c:pt>
              </c:numCache>
            </c:numRef>
          </c:val>
          <c:extLst>
            <c:ext xmlns:c16="http://schemas.microsoft.com/office/drawing/2014/chart" uri="{C3380CC4-5D6E-409C-BE32-E72D297353CC}">
              <c16:uniqueId val="{00000003-6F46-9648-AD16-9037C71852F9}"/>
            </c:ext>
          </c:extLst>
        </c:ser>
        <c:ser>
          <c:idx val="1"/>
          <c:order val="1"/>
          <c:tx>
            <c:strRef>
              <c:f>PARCOURS!$Z$154</c:f>
              <c:strCache>
                <c:ptCount val="1"/>
                <c:pt idx="0">
                  <c:v>200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PARCOURS!$X$155:$X$157</c:f>
              <c:strCache>
                <c:ptCount val="3"/>
                <c:pt idx="0">
                  <c:v>F</c:v>
                </c:pt>
                <c:pt idx="1">
                  <c:v>H</c:v>
                </c:pt>
                <c:pt idx="2">
                  <c:v>Total général</c:v>
                </c:pt>
              </c:strCache>
            </c:strRef>
          </c:cat>
          <c:val>
            <c:numRef>
              <c:f>PARCOURS!$Z$155:$Z$157</c:f>
              <c:numCache>
                <c:formatCode>0%</c:formatCode>
                <c:ptCount val="3"/>
                <c:pt idx="0">
                  <c:v>0.21666666666666667</c:v>
                </c:pt>
                <c:pt idx="1">
                  <c:v>0.245</c:v>
                </c:pt>
                <c:pt idx="2">
                  <c:v>0.234375</c:v>
                </c:pt>
              </c:numCache>
            </c:numRef>
          </c:val>
          <c:extLst>
            <c:ext xmlns:c16="http://schemas.microsoft.com/office/drawing/2014/chart" uri="{C3380CC4-5D6E-409C-BE32-E72D297353CC}">
              <c16:uniqueId val="{00000004-6F46-9648-AD16-9037C71852F9}"/>
            </c:ext>
          </c:extLst>
        </c:ser>
        <c:ser>
          <c:idx val="2"/>
          <c:order val="2"/>
          <c:tx>
            <c:strRef>
              <c:f>PARCOURS!$AA$154</c:f>
              <c:strCache>
                <c:ptCount val="1"/>
                <c:pt idx="0">
                  <c:v>300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PARCOURS!$X$155:$X$157</c:f>
              <c:strCache>
                <c:ptCount val="3"/>
                <c:pt idx="0">
                  <c:v>F</c:v>
                </c:pt>
                <c:pt idx="1">
                  <c:v>H</c:v>
                </c:pt>
                <c:pt idx="2">
                  <c:v>Total général</c:v>
                </c:pt>
              </c:strCache>
            </c:strRef>
          </c:cat>
          <c:val>
            <c:numRef>
              <c:f>PARCOURS!$AA$155:$AA$157</c:f>
              <c:numCache>
                <c:formatCode>0%</c:formatCode>
                <c:ptCount val="3"/>
                <c:pt idx="0">
                  <c:v>0.23333333333333334</c:v>
                </c:pt>
                <c:pt idx="1">
                  <c:v>0.28000000000000003</c:v>
                </c:pt>
                <c:pt idx="2">
                  <c:v>0.26250000000000001</c:v>
                </c:pt>
              </c:numCache>
            </c:numRef>
          </c:val>
          <c:extLst>
            <c:ext xmlns:c16="http://schemas.microsoft.com/office/drawing/2014/chart" uri="{C3380CC4-5D6E-409C-BE32-E72D297353CC}">
              <c16:uniqueId val="{00000003-82B9-C046-A30C-CA0067396CFF}"/>
            </c:ext>
          </c:extLst>
        </c:ser>
        <c:ser>
          <c:idx val="3"/>
          <c:order val="3"/>
          <c:tx>
            <c:strRef>
              <c:f>PARCOURS!$AB$154</c:f>
              <c:strCache>
                <c:ptCount val="1"/>
                <c:pt idx="0">
                  <c:v>400</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B9-C046-A30C-CA0067396CF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B9-C046-A30C-CA0067396CFF}"/>
                </c:ext>
              </c:extLst>
            </c:dLbl>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PARCOURS!$X$155:$X$157</c:f>
              <c:strCache>
                <c:ptCount val="3"/>
                <c:pt idx="0">
                  <c:v>F</c:v>
                </c:pt>
                <c:pt idx="1">
                  <c:v>H</c:v>
                </c:pt>
                <c:pt idx="2">
                  <c:v>Total général</c:v>
                </c:pt>
              </c:strCache>
            </c:strRef>
          </c:cat>
          <c:val>
            <c:numRef>
              <c:f>PARCOURS!$AB$155:$AB$157</c:f>
              <c:numCache>
                <c:formatCode>0%</c:formatCode>
                <c:ptCount val="3"/>
                <c:pt idx="0">
                  <c:v>0.15</c:v>
                </c:pt>
                <c:pt idx="1">
                  <c:v>0.14499999999999999</c:v>
                </c:pt>
                <c:pt idx="2">
                  <c:v>0.14687500000000001</c:v>
                </c:pt>
              </c:numCache>
            </c:numRef>
          </c:val>
          <c:extLst>
            <c:ext xmlns:c16="http://schemas.microsoft.com/office/drawing/2014/chart" uri="{C3380CC4-5D6E-409C-BE32-E72D297353CC}">
              <c16:uniqueId val="{00000004-82B9-C046-A30C-CA0067396CFF}"/>
            </c:ext>
          </c:extLst>
        </c:ser>
        <c:ser>
          <c:idx val="4"/>
          <c:order val="4"/>
          <c:tx>
            <c:strRef>
              <c:f>PARCOURS!$AC$154</c:f>
              <c:strCache>
                <c:ptCount val="1"/>
                <c:pt idx="0">
                  <c:v>500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PARCOURS!$X$155:$X$157</c:f>
              <c:strCache>
                <c:ptCount val="3"/>
                <c:pt idx="0">
                  <c:v>F</c:v>
                </c:pt>
                <c:pt idx="1">
                  <c:v>H</c:v>
                </c:pt>
                <c:pt idx="2">
                  <c:v>Total général</c:v>
                </c:pt>
              </c:strCache>
            </c:strRef>
          </c:cat>
          <c:val>
            <c:numRef>
              <c:f>PARCOURS!$AC$155:$AC$157</c:f>
              <c:numCache>
                <c:formatCode>0%</c:formatCode>
                <c:ptCount val="3"/>
                <c:pt idx="0">
                  <c:v>0.23333333333333334</c:v>
                </c:pt>
                <c:pt idx="1">
                  <c:v>0.185</c:v>
                </c:pt>
                <c:pt idx="2">
                  <c:v>0.203125</c:v>
                </c:pt>
              </c:numCache>
            </c:numRef>
          </c:val>
          <c:extLst>
            <c:ext xmlns:c16="http://schemas.microsoft.com/office/drawing/2014/chart" uri="{C3380CC4-5D6E-409C-BE32-E72D297353CC}">
              <c16:uniqueId val="{00000005-82B9-C046-A30C-CA0067396CFF}"/>
            </c:ext>
          </c:extLst>
        </c:ser>
        <c:ser>
          <c:idx val="5"/>
          <c:order val="5"/>
          <c:tx>
            <c:strRef>
              <c:f>PARCOURS!$AD$154</c:f>
              <c:strCache>
                <c:ptCount val="1"/>
                <c:pt idx="0">
                  <c:v>700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PARCOURS!$X$155:$X$157</c:f>
              <c:strCache>
                <c:ptCount val="3"/>
                <c:pt idx="0">
                  <c:v>F</c:v>
                </c:pt>
                <c:pt idx="1">
                  <c:v>H</c:v>
                </c:pt>
                <c:pt idx="2">
                  <c:v>Total général</c:v>
                </c:pt>
              </c:strCache>
            </c:strRef>
          </c:cat>
          <c:val>
            <c:numRef>
              <c:f>PARCOURS!$AD$155:$AD$157</c:f>
              <c:numCache>
                <c:formatCode>0%</c:formatCode>
                <c:ptCount val="3"/>
                <c:pt idx="0">
                  <c:v>0.05</c:v>
                </c:pt>
                <c:pt idx="1">
                  <c:v>0.02</c:v>
                </c:pt>
                <c:pt idx="2">
                  <c:v>3.125E-2</c:v>
                </c:pt>
              </c:numCache>
            </c:numRef>
          </c:val>
          <c:extLst>
            <c:ext xmlns:c16="http://schemas.microsoft.com/office/drawing/2014/chart" uri="{C3380CC4-5D6E-409C-BE32-E72D297353CC}">
              <c16:uniqueId val="{00000006-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dynamique39</c:name>
    <c:fmtId val="2"/>
  </c:pivotSource>
  <c:chart>
    <c:title>
      <c:tx>
        <c:rich>
          <a:bodyPr/>
          <a:lstStyle/>
          <a:p>
            <a:pPr>
              <a:defRPr sz="1100" b="1"/>
            </a:pPr>
            <a:r>
              <a:rPr lang="fr-FR"/>
              <a:t>Répartition par tranche de rémunération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PARCOURS!$E$205:$E$206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PARCOURS!$D$207:$D$212</c:f>
              <c:strCache>
                <c:ptCount val="5"/>
                <c:pt idx="0">
                  <c:v>1:7 000-14 000</c:v>
                </c:pt>
                <c:pt idx="1">
                  <c:v>2:14 000-17 000</c:v>
                </c:pt>
                <c:pt idx="2">
                  <c:v>3:17 000-20 000</c:v>
                </c:pt>
                <c:pt idx="3">
                  <c:v>4: 20 000-23 000</c:v>
                </c:pt>
                <c:pt idx="4">
                  <c:v>5 : + de 23 000</c:v>
                </c:pt>
              </c:strCache>
            </c:strRef>
          </c:cat>
          <c:val>
            <c:numRef>
              <c:f>PARCOURS!$E$207:$E$212</c:f>
              <c:numCache>
                <c:formatCode>General</c:formatCode>
                <c:ptCount val="5"/>
                <c:pt idx="0">
                  <c:v>13</c:v>
                </c:pt>
                <c:pt idx="1">
                  <c:v>17</c:v>
                </c:pt>
                <c:pt idx="2">
                  <c:v>15</c:v>
                </c:pt>
                <c:pt idx="3">
                  <c:v>29</c:v>
                </c:pt>
                <c:pt idx="4">
                  <c:v>126</c:v>
                </c:pt>
              </c:numCache>
            </c:numRef>
          </c:val>
          <c:extLst>
            <c:ext xmlns:c16="http://schemas.microsoft.com/office/drawing/2014/chart" uri="{C3380CC4-5D6E-409C-BE32-E72D297353CC}">
              <c16:uniqueId val="{00000003-8318-044C-B80B-C54BBA85CBF6}"/>
            </c:ext>
          </c:extLst>
        </c:ser>
        <c:ser>
          <c:idx val="1"/>
          <c:order val="1"/>
          <c:tx>
            <c:strRef>
              <c:f>PARCOURS!$F$205:$F$206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PARCOURS!$D$207:$D$212</c:f>
              <c:strCache>
                <c:ptCount val="5"/>
                <c:pt idx="0">
                  <c:v>1:7 000-14 000</c:v>
                </c:pt>
                <c:pt idx="1">
                  <c:v>2:14 000-17 000</c:v>
                </c:pt>
                <c:pt idx="2">
                  <c:v>3:17 000-20 000</c:v>
                </c:pt>
                <c:pt idx="3">
                  <c:v>4: 20 000-23 000</c:v>
                </c:pt>
                <c:pt idx="4">
                  <c:v>5 : + de 23 000</c:v>
                </c:pt>
              </c:strCache>
            </c:strRef>
          </c:cat>
          <c:val>
            <c:numRef>
              <c:f>PARCOURS!$F$207:$F$212</c:f>
              <c:numCache>
                <c:formatCode>General</c:formatCode>
                <c:ptCount val="5"/>
                <c:pt idx="0">
                  <c:v>12</c:v>
                </c:pt>
                <c:pt idx="1">
                  <c:v>8</c:v>
                </c:pt>
                <c:pt idx="2">
                  <c:v>10</c:v>
                </c:pt>
                <c:pt idx="3">
                  <c:v>19</c:v>
                </c:pt>
                <c:pt idx="4">
                  <c:v>71</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dynamique36</c:name>
    <c:fmtId val="2"/>
  </c:pivotSource>
  <c:chart>
    <c:title>
      <c:tx>
        <c:rich>
          <a:bodyPr/>
          <a:lstStyle/>
          <a:p>
            <a:pPr>
              <a:defRPr sz="1100" b="1"/>
            </a:pPr>
            <a:r>
              <a:rPr lang="fr-FR"/>
              <a:t>Moyennes de rémunération par catégorie des femmes et des hommes</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PARCOURS!$O$205:$O$206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PARCOURS!$N$207:$N$211</c:f>
              <c:strCache>
                <c:ptCount val="4"/>
                <c:pt idx="0">
                  <c:v>1-OUVRIER</c:v>
                </c:pt>
                <c:pt idx="1">
                  <c:v>2-EMPLOYE</c:v>
                </c:pt>
                <c:pt idx="2">
                  <c:v>3-TAM</c:v>
                </c:pt>
                <c:pt idx="3">
                  <c:v>4-CADRE</c:v>
                </c:pt>
              </c:strCache>
            </c:strRef>
          </c:cat>
          <c:val>
            <c:numRef>
              <c:f>PARCOURS!$O$207:$O$211</c:f>
              <c:numCache>
                <c:formatCode>_-* #,##0_€_-;\-* #,##0_€_-;_-* "-"??_€_-;_-@_-</c:formatCode>
                <c:ptCount val="4"/>
                <c:pt idx="0">
                  <c:v>32155.517241379312</c:v>
                </c:pt>
                <c:pt idx="1">
                  <c:v>38020</c:v>
                </c:pt>
                <c:pt idx="2">
                  <c:v>32218.18181818182</c:v>
                </c:pt>
                <c:pt idx="3">
                  <c:v>25912</c:v>
                </c:pt>
              </c:numCache>
            </c:numRef>
          </c:val>
          <c:extLst>
            <c:ext xmlns:c16="http://schemas.microsoft.com/office/drawing/2014/chart" uri="{C3380CC4-5D6E-409C-BE32-E72D297353CC}">
              <c16:uniqueId val="{00000003-8318-044C-B80B-C54BBA85CBF6}"/>
            </c:ext>
          </c:extLst>
        </c:ser>
        <c:ser>
          <c:idx val="1"/>
          <c:order val="1"/>
          <c:tx>
            <c:strRef>
              <c:f>PARCOURS!$P$205:$P$206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PARCOURS!$N$207:$N$211</c:f>
              <c:strCache>
                <c:ptCount val="4"/>
                <c:pt idx="0">
                  <c:v>1-OUVRIER</c:v>
                </c:pt>
                <c:pt idx="1">
                  <c:v>2-EMPLOYE</c:v>
                </c:pt>
                <c:pt idx="2">
                  <c:v>3-TAM</c:v>
                </c:pt>
                <c:pt idx="3">
                  <c:v>4-CADRE</c:v>
                </c:pt>
              </c:strCache>
            </c:strRef>
          </c:cat>
          <c:val>
            <c:numRef>
              <c:f>PARCOURS!$P$207:$P$211</c:f>
              <c:numCache>
                <c:formatCode>_-* #,##0_€_-;\-* #,##0_€_-;_-* "-"??_€_-;_-@_-</c:formatCode>
                <c:ptCount val="4"/>
                <c:pt idx="0">
                  <c:v>30762.105263157893</c:v>
                </c:pt>
                <c:pt idx="1">
                  <c:v>29871.111111111109</c:v>
                </c:pt>
                <c:pt idx="2">
                  <c:v>29552.727272727272</c:v>
                </c:pt>
                <c:pt idx="3">
                  <c:v>28960</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_-* #,##0_€_-;\-* #,##0_€_-;_-* &quot;-&quot;??_€_-;_-@_-"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dynamique37</c:name>
    <c:fmtId val="2"/>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tranche de rémunération des F et des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PARCOURS!$Y$205:$Y$206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PARCOURS!$X$207:$X$212</c:f>
              <c:strCache>
                <c:ptCount val="5"/>
                <c:pt idx="0">
                  <c:v>4: 20 000-23 000</c:v>
                </c:pt>
                <c:pt idx="1">
                  <c:v>2:14 000-17 000</c:v>
                </c:pt>
                <c:pt idx="2">
                  <c:v>5 : + de 23 000</c:v>
                </c:pt>
                <c:pt idx="3">
                  <c:v>1:7 000-14 000</c:v>
                </c:pt>
                <c:pt idx="4">
                  <c:v>3:17 000-20 000</c:v>
                </c:pt>
              </c:strCache>
            </c:strRef>
          </c:cat>
          <c:val>
            <c:numRef>
              <c:f>PARCOURS!$Y$207:$Y$212</c:f>
              <c:numCache>
                <c:formatCode>0%</c:formatCode>
                <c:ptCount val="5"/>
                <c:pt idx="0">
                  <c:v>0.60416666666666663</c:v>
                </c:pt>
                <c:pt idx="1">
                  <c:v>0.68</c:v>
                </c:pt>
                <c:pt idx="2">
                  <c:v>0.63959390862944165</c:v>
                </c:pt>
                <c:pt idx="3">
                  <c:v>0.52</c:v>
                </c:pt>
                <c:pt idx="4">
                  <c:v>0.6</c:v>
                </c:pt>
              </c:numCache>
            </c:numRef>
          </c:val>
          <c:extLst>
            <c:ext xmlns:c16="http://schemas.microsoft.com/office/drawing/2014/chart" uri="{C3380CC4-5D6E-409C-BE32-E72D297353CC}">
              <c16:uniqueId val="{00000003-6F46-9648-AD16-9037C71852F9}"/>
            </c:ext>
          </c:extLst>
        </c:ser>
        <c:ser>
          <c:idx val="1"/>
          <c:order val="1"/>
          <c:tx>
            <c:strRef>
              <c:f>PARCOURS!$Z$205:$Z$206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PARCOURS!$X$207:$X$212</c:f>
              <c:strCache>
                <c:ptCount val="5"/>
                <c:pt idx="0">
                  <c:v>4: 20 000-23 000</c:v>
                </c:pt>
                <c:pt idx="1">
                  <c:v>2:14 000-17 000</c:v>
                </c:pt>
                <c:pt idx="2">
                  <c:v>5 : + de 23 000</c:v>
                </c:pt>
                <c:pt idx="3">
                  <c:v>1:7 000-14 000</c:v>
                </c:pt>
                <c:pt idx="4">
                  <c:v>3:17 000-20 000</c:v>
                </c:pt>
              </c:strCache>
            </c:strRef>
          </c:cat>
          <c:val>
            <c:numRef>
              <c:f>PARCOURS!$Z$207:$Z$212</c:f>
              <c:numCache>
                <c:formatCode>0%</c:formatCode>
                <c:ptCount val="5"/>
                <c:pt idx="0">
                  <c:v>0.39583333333333331</c:v>
                </c:pt>
                <c:pt idx="1">
                  <c:v>0.32</c:v>
                </c:pt>
                <c:pt idx="2">
                  <c:v>0.3604060913705584</c:v>
                </c:pt>
                <c:pt idx="3">
                  <c:v>0.48</c:v>
                </c:pt>
                <c:pt idx="4">
                  <c:v>0.4</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dynamique38</c:name>
    <c:fmtId val="2"/>
  </c:pivotSource>
  <c:chart>
    <c:title>
      <c:tx>
        <c:rich>
          <a:bodyPr/>
          <a:lstStyle/>
          <a:p>
            <a:pPr>
              <a:defRPr sz="1100" b="1" i="0" u="none" strike="noStrike" baseline="0">
                <a:solidFill>
                  <a:srgbClr val="000000"/>
                </a:solidFill>
                <a:latin typeface="Calibri"/>
                <a:ea typeface="Calibri"/>
                <a:cs typeface="Calibri"/>
              </a:defRPr>
            </a:pPr>
            <a:r>
              <a:rPr lang="fr-FR"/>
              <a:t>Répartition par sexe selon les tranches de rémunération</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sz="12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PARCOURS!$AD$205:$AD$206</c:f>
              <c:strCache>
                <c:ptCount val="1"/>
                <c:pt idx="0">
                  <c:v>4: 20 000-23 000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PARCOURS!$AC$207:$AC$209</c:f>
              <c:strCache>
                <c:ptCount val="2"/>
                <c:pt idx="0">
                  <c:v>F</c:v>
                </c:pt>
                <c:pt idx="1">
                  <c:v>H</c:v>
                </c:pt>
              </c:strCache>
            </c:strRef>
          </c:cat>
          <c:val>
            <c:numRef>
              <c:f>PARCOURS!$AD$207:$AD$209</c:f>
              <c:numCache>
                <c:formatCode>0%</c:formatCode>
                <c:ptCount val="2"/>
                <c:pt idx="0">
                  <c:v>0.15833333333333333</c:v>
                </c:pt>
                <c:pt idx="1">
                  <c:v>0.14499999999999999</c:v>
                </c:pt>
              </c:numCache>
            </c:numRef>
          </c:val>
          <c:extLst>
            <c:ext xmlns:c16="http://schemas.microsoft.com/office/drawing/2014/chart" uri="{C3380CC4-5D6E-409C-BE32-E72D297353CC}">
              <c16:uniqueId val="{00000003-6F46-9648-AD16-9037C71852F9}"/>
            </c:ext>
          </c:extLst>
        </c:ser>
        <c:ser>
          <c:idx val="1"/>
          <c:order val="1"/>
          <c:tx>
            <c:strRef>
              <c:f>PARCOURS!$AE$205:$AE$206</c:f>
              <c:strCache>
                <c:ptCount val="1"/>
                <c:pt idx="0">
                  <c:v>2:14 000-17 000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PARCOURS!$AC$207:$AC$209</c:f>
              <c:strCache>
                <c:ptCount val="2"/>
                <c:pt idx="0">
                  <c:v>F</c:v>
                </c:pt>
                <c:pt idx="1">
                  <c:v>H</c:v>
                </c:pt>
              </c:strCache>
            </c:strRef>
          </c:cat>
          <c:val>
            <c:numRef>
              <c:f>PARCOURS!$AE$207:$AE$209</c:f>
              <c:numCache>
                <c:formatCode>0%</c:formatCode>
                <c:ptCount val="2"/>
                <c:pt idx="0">
                  <c:v>6.6666666666666666E-2</c:v>
                </c:pt>
                <c:pt idx="1">
                  <c:v>8.5000000000000006E-2</c:v>
                </c:pt>
              </c:numCache>
            </c:numRef>
          </c:val>
          <c:extLst>
            <c:ext xmlns:c16="http://schemas.microsoft.com/office/drawing/2014/chart" uri="{C3380CC4-5D6E-409C-BE32-E72D297353CC}">
              <c16:uniqueId val="{00000004-6F46-9648-AD16-9037C71852F9}"/>
            </c:ext>
          </c:extLst>
        </c:ser>
        <c:ser>
          <c:idx val="2"/>
          <c:order val="2"/>
          <c:tx>
            <c:strRef>
              <c:f>PARCOURS!$AF$205:$AF$206</c:f>
              <c:strCache>
                <c:ptCount val="1"/>
                <c:pt idx="0">
                  <c:v>5 : + de 23 000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PARCOURS!$AC$207:$AC$209</c:f>
              <c:strCache>
                <c:ptCount val="2"/>
                <c:pt idx="0">
                  <c:v>F</c:v>
                </c:pt>
                <c:pt idx="1">
                  <c:v>H</c:v>
                </c:pt>
              </c:strCache>
            </c:strRef>
          </c:cat>
          <c:val>
            <c:numRef>
              <c:f>PARCOURS!$AF$207:$AF$209</c:f>
              <c:numCache>
                <c:formatCode>0%</c:formatCode>
                <c:ptCount val="2"/>
                <c:pt idx="0">
                  <c:v>0.59166666666666667</c:v>
                </c:pt>
                <c:pt idx="1">
                  <c:v>0.63</c:v>
                </c:pt>
              </c:numCache>
            </c:numRef>
          </c:val>
          <c:extLst>
            <c:ext xmlns:c16="http://schemas.microsoft.com/office/drawing/2014/chart" uri="{C3380CC4-5D6E-409C-BE32-E72D297353CC}">
              <c16:uniqueId val="{00000003-82B9-C046-A30C-CA0067396CFF}"/>
            </c:ext>
          </c:extLst>
        </c:ser>
        <c:ser>
          <c:idx val="3"/>
          <c:order val="3"/>
          <c:tx>
            <c:strRef>
              <c:f>PARCOURS!$AG$205:$AG$206</c:f>
              <c:strCache>
                <c:ptCount val="1"/>
                <c:pt idx="0">
                  <c:v>1:7 000-14 000</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B9-C046-A30C-CA0067396CF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B9-C046-A30C-CA0067396CFF}"/>
                </c:ext>
              </c:extLst>
            </c:dLbl>
            <c:spPr>
              <a:noFill/>
              <a:ln>
                <a:noFill/>
              </a:ln>
              <a:effectLst/>
            </c:spPr>
            <c:txPr>
              <a:bodyPr wrap="square" lIns="38100" tIns="19050" rIns="38100" bIns="19050" anchor="ctr">
                <a:spAutoFit/>
              </a:bodyPr>
              <a:lstStyle/>
              <a:p>
                <a:pPr>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PARCOURS!$AC$207:$AC$209</c:f>
              <c:strCache>
                <c:ptCount val="2"/>
                <c:pt idx="0">
                  <c:v>F</c:v>
                </c:pt>
                <c:pt idx="1">
                  <c:v>H</c:v>
                </c:pt>
              </c:strCache>
            </c:strRef>
          </c:cat>
          <c:val>
            <c:numRef>
              <c:f>PARCOURS!$AG$207:$AG$209</c:f>
              <c:numCache>
                <c:formatCode>0%</c:formatCode>
                <c:ptCount val="2"/>
                <c:pt idx="0">
                  <c:v>0.1</c:v>
                </c:pt>
                <c:pt idx="1">
                  <c:v>6.5000000000000002E-2</c:v>
                </c:pt>
              </c:numCache>
            </c:numRef>
          </c:val>
          <c:extLst>
            <c:ext xmlns:c16="http://schemas.microsoft.com/office/drawing/2014/chart" uri="{C3380CC4-5D6E-409C-BE32-E72D297353CC}">
              <c16:uniqueId val="{00000004-82B9-C046-A30C-CA0067396CFF}"/>
            </c:ext>
          </c:extLst>
        </c:ser>
        <c:ser>
          <c:idx val="4"/>
          <c:order val="4"/>
          <c:tx>
            <c:strRef>
              <c:f>PARCOURS!$AH$205:$AH$206</c:f>
              <c:strCache>
                <c:ptCount val="1"/>
                <c:pt idx="0">
                  <c:v>3:17 000-20 000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PARCOURS!$AC$207:$AC$209</c:f>
              <c:strCache>
                <c:ptCount val="2"/>
                <c:pt idx="0">
                  <c:v>F</c:v>
                </c:pt>
                <c:pt idx="1">
                  <c:v>H</c:v>
                </c:pt>
              </c:strCache>
            </c:strRef>
          </c:cat>
          <c:val>
            <c:numRef>
              <c:f>PARCOURS!$AH$207:$AH$209</c:f>
              <c:numCache>
                <c:formatCode>0%</c:formatCode>
                <c:ptCount val="2"/>
                <c:pt idx="0">
                  <c:v>8.3333333333333329E-2</c:v>
                </c:pt>
                <c:pt idx="1">
                  <c:v>7.4999999999999997E-2</c:v>
                </c:pt>
              </c:numCache>
            </c:numRef>
          </c:val>
          <c:extLst>
            <c:ext xmlns:c16="http://schemas.microsoft.com/office/drawing/2014/chart" uri="{C3380CC4-5D6E-409C-BE32-E72D297353CC}">
              <c16:uniqueId val="{00000005-82B9-C046-A30C-CA0067396CFF}"/>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71229145326596932"/>
          <c:y val="9.7805789931897508E-2"/>
          <c:w val="0.28770854673403079"/>
          <c:h val="0.88017303279822312"/>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[Outil_Diagnostic_Egalite_INDEX_21-12-20 3-1.xlsx]PARCOURS!Tableau croisé dynamique1</c:name>
    <c:fmtId val="2"/>
  </c:pivotSource>
  <c:chart>
    <c:title>
      <c:tx>
        <c:rich>
          <a:bodyPr/>
          <a:lstStyle/>
          <a:p>
            <a:pPr>
              <a:defRPr sz="1400" b="0" i="0" u="none" strike="noStrike" baseline="0">
                <a:solidFill>
                  <a:srgbClr val="333333"/>
                </a:solidFill>
                <a:latin typeface="Calibri"/>
                <a:ea typeface="Calibri"/>
                <a:cs typeface="Calibri"/>
              </a:defRPr>
            </a:pPr>
            <a:r>
              <a:rPr lang="fr-FR"/>
              <a:t>Répartition des effectifs selon la rémunération et l'âge</a:t>
            </a:r>
          </a:p>
        </c:rich>
      </c:tx>
      <c:overlay val="0"/>
      <c:spPr>
        <a:noFill/>
        <a:ln w="25400">
          <a:noFill/>
        </a:ln>
      </c:spPr>
    </c:title>
    <c:autoTitleDeleted val="0"/>
    <c:pivotFmts>
      <c:pivotFmt>
        <c:idx val="0"/>
        <c:spPr>
          <a:solidFill>
            <a:srgbClr val="4F81BD"/>
          </a:solidFill>
          <a:ln w="25400">
            <a:noFill/>
          </a:ln>
        </c:spPr>
        <c:marker>
          <c:symbol val="none"/>
        </c:marker>
        <c:dLbl>
          <c:idx val="0"/>
          <c:delete val="1"/>
          <c:extLst>
            <c:ext xmlns:c15="http://schemas.microsoft.com/office/drawing/2012/chart" uri="{CE6537A1-D6FC-4f65-9D91-7224C49458BB}"/>
          </c:extLst>
        </c:dLbl>
      </c:pivotFmt>
      <c:pivotFmt>
        <c:idx val="1"/>
        <c:spPr>
          <a:solidFill>
            <a:srgbClr val="4F81BD"/>
          </a:solidFill>
          <a:ln w="25400">
            <a:noFill/>
          </a:ln>
        </c:spPr>
        <c:marker>
          <c:symbol val="none"/>
        </c:marker>
        <c:dLbl>
          <c:idx val="0"/>
          <c:delete val="1"/>
          <c:extLst>
            <c:ext xmlns:c15="http://schemas.microsoft.com/office/drawing/2012/chart" uri="{CE6537A1-D6FC-4f65-9D91-7224C49458BB}"/>
          </c:extLst>
        </c:dLbl>
      </c:pivotFmt>
      <c:pivotFmt>
        <c:idx val="2"/>
        <c:spPr>
          <a:solidFill>
            <a:srgbClr val="FF9D21"/>
          </a:solidFill>
          <a:ln w="25400">
            <a:noFill/>
          </a:ln>
        </c:spPr>
        <c:marker>
          <c:symbol val="none"/>
        </c:marker>
        <c:dLbl>
          <c:idx val="0"/>
          <c:delete val="1"/>
          <c:extLst>
            <c:ext xmlns:c15="http://schemas.microsoft.com/office/drawing/2012/chart" uri="{CE6537A1-D6FC-4f65-9D91-7224C49458BB}"/>
          </c:extLst>
        </c:dLbl>
      </c:pivotFmt>
      <c:pivotFmt>
        <c:idx val="3"/>
        <c:spPr>
          <a:solidFill>
            <a:schemeClr val="accent3">
              <a:lumMod val="75000"/>
            </a:schemeClr>
          </a:solidFill>
          <a:ln w="25400">
            <a:noFill/>
          </a:ln>
        </c:spPr>
      </c:pivotFmt>
      <c:pivotFmt>
        <c:idx val="4"/>
        <c:spPr>
          <a:solidFill>
            <a:schemeClr val="accent3">
              <a:lumMod val="75000"/>
            </a:schemeClr>
          </a:solidFill>
          <a:ln w="25400">
            <a:noFill/>
          </a:ln>
        </c:spPr>
      </c:pivotFmt>
      <c:pivotFmt>
        <c:idx val="5"/>
        <c:spPr>
          <a:solidFill>
            <a:schemeClr val="accent3">
              <a:lumMod val="75000"/>
            </a:schemeClr>
          </a:solidFill>
          <a:ln w="25400">
            <a:noFill/>
          </a:ln>
        </c:spPr>
      </c:pivotFmt>
      <c:pivotFmt>
        <c:idx val="6"/>
        <c:spPr>
          <a:solidFill>
            <a:schemeClr val="accent3">
              <a:lumMod val="75000"/>
            </a:schemeClr>
          </a:solidFill>
          <a:ln w="25400">
            <a:noFill/>
          </a:ln>
        </c:spPr>
      </c:pivotFmt>
    </c:pivotFmts>
    <c:plotArea>
      <c:layout/>
      <c:barChart>
        <c:barDir val="col"/>
        <c:grouping val="clustered"/>
        <c:varyColors val="0"/>
        <c:ser>
          <c:idx val="0"/>
          <c:order val="0"/>
          <c:tx>
            <c:strRef>
              <c:f>PARCOURS!$AN$205:$AN$206</c:f>
              <c:strCache>
                <c:ptCount val="1"/>
                <c:pt idx="0">
                  <c:v>Total</c:v>
                </c:pt>
              </c:strCache>
            </c:strRef>
          </c:tx>
          <c:spPr>
            <a:solidFill>
              <a:srgbClr val="FF9D21"/>
            </a:solidFill>
            <a:ln w="25400">
              <a:noFill/>
            </a:ln>
          </c:spPr>
          <c:invertIfNegative val="0"/>
          <c:dPt>
            <c:idx val="1"/>
            <c:invertIfNegative val="0"/>
            <c:bubble3D val="0"/>
            <c:spPr>
              <a:solidFill>
                <a:schemeClr val="accent3">
                  <a:lumMod val="75000"/>
                </a:schemeClr>
              </a:solidFill>
              <a:ln w="25400">
                <a:noFill/>
              </a:ln>
            </c:spPr>
            <c:extLst>
              <c:ext xmlns:c16="http://schemas.microsoft.com/office/drawing/2014/chart" uri="{C3380CC4-5D6E-409C-BE32-E72D297353CC}">
                <c16:uniqueId val="{00000001-F130-E043-8FED-765E7202FC67}"/>
              </c:ext>
            </c:extLst>
          </c:dPt>
          <c:dPt>
            <c:idx val="3"/>
            <c:invertIfNegative val="0"/>
            <c:bubble3D val="0"/>
            <c:spPr>
              <a:solidFill>
                <a:schemeClr val="accent3">
                  <a:lumMod val="75000"/>
                </a:schemeClr>
              </a:solidFill>
              <a:ln w="25400">
                <a:noFill/>
              </a:ln>
            </c:spPr>
            <c:extLst>
              <c:ext xmlns:c16="http://schemas.microsoft.com/office/drawing/2014/chart" uri="{C3380CC4-5D6E-409C-BE32-E72D297353CC}">
                <c16:uniqueId val="{00000002-F130-E043-8FED-765E7202FC67}"/>
              </c:ext>
            </c:extLst>
          </c:dPt>
          <c:dPt>
            <c:idx val="5"/>
            <c:invertIfNegative val="0"/>
            <c:bubble3D val="0"/>
            <c:spPr>
              <a:solidFill>
                <a:schemeClr val="accent3">
                  <a:lumMod val="75000"/>
                </a:schemeClr>
              </a:solidFill>
              <a:ln w="25400">
                <a:noFill/>
              </a:ln>
            </c:spPr>
            <c:extLst>
              <c:ext xmlns:c16="http://schemas.microsoft.com/office/drawing/2014/chart" uri="{C3380CC4-5D6E-409C-BE32-E72D297353CC}">
                <c16:uniqueId val="{00000003-F130-E043-8FED-765E7202FC67}"/>
              </c:ext>
            </c:extLst>
          </c:dPt>
          <c:dPt>
            <c:idx val="7"/>
            <c:invertIfNegative val="0"/>
            <c:bubble3D val="0"/>
            <c:spPr>
              <a:solidFill>
                <a:schemeClr val="accent3">
                  <a:lumMod val="75000"/>
                </a:schemeClr>
              </a:solidFill>
              <a:ln w="25400">
                <a:noFill/>
              </a:ln>
            </c:spPr>
            <c:extLst>
              <c:ext xmlns:c16="http://schemas.microsoft.com/office/drawing/2014/chart" uri="{C3380CC4-5D6E-409C-BE32-E72D297353CC}">
                <c16:uniqueId val="{00000004-F130-E043-8FED-765E7202FC67}"/>
              </c:ext>
            </c:extLst>
          </c:dPt>
          <c:cat>
            <c:multiLvlStrRef>
              <c:f>PARCOURS!$AL$207:$AM$219</c:f>
              <c:multiLvlStrCache>
                <c:ptCount val="8"/>
                <c:lvl>
                  <c:pt idx="0">
                    <c:v>F</c:v>
                  </c:pt>
                  <c:pt idx="1">
                    <c:v>H</c:v>
                  </c:pt>
                  <c:pt idx="2">
                    <c:v>F</c:v>
                  </c:pt>
                  <c:pt idx="3">
                    <c:v>H</c:v>
                  </c:pt>
                  <c:pt idx="4">
                    <c:v>F</c:v>
                  </c:pt>
                  <c:pt idx="5">
                    <c:v>H</c:v>
                  </c:pt>
                  <c:pt idx="6">
                    <c:v>F</c:v>
                  </c:pt>
                  <c:pt idx="7">
                    <c:v>H</c:v>
                  </c:pt>
                </c:lvl>
                <c:lvl>
                  <c:pt idx="0">
                    <c:v>50 ans et plus</c:v>
                  </c:pt>
                  <c:pt idx="2">
                    <c:v>40 à 49 ans</c:v>
                  </c:pt>
                  <c:pt idx="4">
                    <c:v>30 à 39 ans</c:v>
                  </c:pt>
                  <c:pt idx="6">
                    <c:v>Moins de 30 ans</c:v>
                  </c:pt>
                </c:lvl>
              </c:multiLvlStrCache>
            </c:multiLvlStrRef>
          </c:cat>
          <c:val>
            <c:numRef>
              <c:f>PARCOURS!$AN$207:$AN$219</c:f>
              <c:numCache>
                <c:formatCode>#,##0</c:formatCode>
                <c:ptCount val="8"/>
                <c:pt idx="0">
                  <c:v>26934.117647058825</c:v>
                </c:pt>
                <c:pt idx="1">
                  <c:v>34081.126760563384</c:v>
                </c:pt>
                <c:pt idx="2">
                  <c:v>30991.111111111109</c:v>
                </c:pt>
                <c:pt idx="3">
                  <c:v>34180</c:v>
                </c:pt>
                <c:pt idx="4">
                  <c:v>34188</c:v>
                </c:pt>
                <c:pt idx="5">
                  <c:v>28176.842105263157</c:v>
                </c:pt>
                <c:pt idx="6">
                  <c:v>29100.689655172413</c:v>
                </c:pt>
                <c:pt idx="7">
                  <c:v>30628.235294117647</c:v>
                </c:pt>
              </c:numCache>
            </c:numRef>
          </c:val>
          <c:extLst>
            <c:ext xmlns:c16="http://schemas.microsoft.com/office/drawing/2014/chart" uri="{C3380CC4-5D6E-409C-BE32-E72D297353CC}">
              <c16:uniqueId val="{00000000-2A02-6B41-BF22-C0F75FF12A72}"/>
            </c:ext>
          </c:extLst>
        </c:ser>
        <c:dLbls>
          <c:showLegendKey val="0"/>
          <c:showVal val="0"/>
          <c:showCatName val="0"/>
          <c:showSerName val="0"/>
          <c:showPercent val="0"/>
          <c:showBubbleSize val="0"/>
        </c:dLbls>
        <c:gapWidth val="219"/>
        <c:overlap val="-27"/>
        <c:axId val="1003836815"/>
        <c:axId val="1"/>
      </c:barChart>
      <c:catAx>
        <c:axId val="1003836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fr-FR"/>
          </a:p>
        </c:txPr>
        <c:crossAx val="1003836815"/>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dynamique56</c:name>
    <c:fmtId val="1"/>
  </c:pivotSource>
  <c:chart>
    <c:title>
      <c:tx>
        <c:rich>
          <a:bodyPr/>
          <a:lstStyle/>
          <a:p>
            <a:pPr>
              <a:defRPr sz="1100" b="1"/>
            </a:pPr>
            <a:r>
              <a:rPr lang="fr-FR"/>
              <a:t>Moyennes d'heures de formation par catégorie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PARCOURS!$E$19:$E$20</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PARCOURS!$D$21:$D$25</c:f>
              <c:strCache>
                <c:ptCount val="4"/>
                <c:pt idx="0">
                  <c:v>1-OUVRIER</c:v>
                </c:pt>
                <c:pt idx="1">
                  <c:v>2-EMPLOYE</c:v>
                </c:pt>
                <c:pt idx="2">
                  <c:v>3-TAM</c:v>
                </c:pt>
                <c:pt idx="3">
                  <c:v>4-CADRE</c:v>
                </c:pt>
              </c:strCache>
            </c:strRef>
          </c:cat>
          <c:val>
            <c:numRef>
              <c:f>PARCOURS!$E$21:$E$25</c:f>
              <c:numCache>
                <c:formatCode>0.0</c:formatCode>
                <c:ptCount val="4"/>
                <c:pt idx="0">
                  <c:v>7.181034482758621</c:v>
                </c:pt>
                <c:pt idx="1">
                  <c:v>7</c:v>
                </c:pt>
                <c:pt idx="2">
                  <c:v>8.9090909090909083</c:v>
                </c:pt>
                <c:pt idx="3">
                  <c:v>7.7</c:v>
                </c:pt>
              </c:numCache>
            </c:numRef>
          </c:val>
          <c:extLst>
            <c:ext xmlns:c16="http://schemas.microsoft.com/office/drawing/2014/chart" uri="{C3380CC4-5D6E-409C-BE32-E72D297353CC}">
              <c16:uniqueId val="{00000003-8318-044C-B80B-C54BBA85CBF6}"/>
            </c:ext>
          </c:extLst>
        </c:ser>
        <c:ser>
          <c:idx val="1"/>
          <c:order val="1"/>
          <c:tx>
            <c:strRef>
              <c:f>PARCOURS!$F$19:$F$20</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PARCOURS!$D$21:$D$25</c:f>
              <c:strCache>
                <c:ptCount val="4"/>
                <c:pt idx="0">
                  <c:v>1-OUVRIER</c:v>
                </c:pt>
                <c:pt idx="1">
                  <c:v>2-EMPLOYE</c:v>
                </c:pt>
                <c:pt idx="2">
                  <c:v>3-TAM</c:v>
                </c:pt>
                <c:pt idx="3">
                  <c:v>4-CADRE</c:v>
                </c:pt>
              </c:strCache>
            </c:strRef>
          </c:cat>
          <c:val>
            <c:numRef>
              <c:f>PARCOURS!$F$21:$F$25</c:f>
              <c:numCache>
                <c:formatCode>0.0</c:formatCode>
                <c:ptCount val="4"/>
                <c:pt idx="0">
                  <c:v>7.1228070175438596</c:v>
                </c:pt>
                <c:pt idx="1">
                  <c:v>11.407407407407407</c:v>
                </c:pt>
                <c:pt idx="2">
                  <c:v>7.2121212121212119</c:v>
                </c:pt>
                <c:pt idx="3">
                  <c:v>4.666666666666667</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0"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3-1.xlsx]PARCOURS!Tableau croisé dynamique57</c:name>
    <c:fmtId val="2"/>
  </c:pivotSource>
  <c:chart>
    <c:title>
      <c:tx>
        <c:rich>
          <a:bodyPr/>
          <a:lstStyle/>
          <a:p>
            <a:pPr>
              <a:defRPr sz="1100" b="1"/>
            </a:pPr>
            <a:r>
              <a:rPr lang="fr-FR"/>
              <a:t>Total d'heures de formation par catégorie </a:t>
            </a:r>
          </a:p>
          <a:p>
            <a:pPr>
              <a:defRPr sz="1100" b="1"/>
            </a:pPr>
            <a:r>
              <a:rPr lang="fr-FR"/>
              <a:t>des F et des H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PARCOURS!$O$20:$O$21</c:f>
              <c:strCache>
                <c:ptCount val="1"/>
                <c:pt idx="0">
                  <c:v>F</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PARCOURS!$N$22:$N$26</c:f>
              <c:strCache>
                <c:ptCount val="4"/>
                <c:pt idx="0">
                  <c:v>1-OUVRIER</c:v>
                </c:pt>
                <c:pt idx="1">
                  <c:v>2-EMPLOYE</c:v>
                </c:pt>
                <c:pt idx="2">
                  <c:v>3-TAM</c:v>
                </c:pt>
                <c:pt idx="3">
                  <c:v>4-CADRE</c:v>
                </c:pt>
              </c:strCache>
            </c:strRef>
          </c:cat>
          <c:val>
            <c:numRef>
              <c:f>PARCOURS!$O$22:$O$26</c:f>
              <c:numCache>
                <c:formatCode>0.0</c:formatCode>
                <c:ptCount val="4"/>
                <c:pt idx="0">
                  <c:v>406</c:v>
                </c:pt>
                <c:pt idx="1">
                  <c:v>308</c:v>
                </c:pt>
                <c:pt idx="2">
                  <c:v>238</c:v>
                </c:pt>
                <c:pt idx="3">
                  <c:v>14</c:v>
                </c:pt>
              </c:numCache>
            </c:numRef>
          </c:val>
          <c:extLst>
            <c:ext xmlns:c16="http://schemas.microsoft.com/office/drawing/2014/chart" uri="{C3380CC4-5D6E-409C-BE32-E72D297353CC}">
              <c16:uniqueId val="{00000003-8318-044C-B80B-C54BBA85CBF6}"/>
            </c:ext>
          </c:extLst>
        </c:ser>
        <c:ser>
          <c:idx val="1"/>
          <c:order val="1"/>
          <c:tx>
            <c:strRef>
              <c:f>PARCOURS!$P$20:$P$21</c:f>
              <c:strCache>
                <c:ptCount val="1"/>
                <c:pt idx="0">
                  <c:v>H</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PARCOURS!$N$22:$N$26</c:f>
              <c:strCache>
                <c:ptCount val="4"/>
                <c:pt idx="0">
                  <c:v>1-OUVRIER</c:v>
                </c:pt>
                <c:pt idx="1">
                  <c:v>2-EMPLOYE</c:v>
                </c:pt>
                <c:pt idx="2">
                  <c:v>3-TAM</c:v>
                </c:pt>
                <c:pt idx="3">
                  <c:v>4-CADRE</c:v>
                </c:pt>
              </c:strCache>
            </c:strRef>
          </c:cat>
          <c:val>
            <c:numRef>
              <c:f>PARCOURS!$P$22:$P$26</c:f>
              <c:numCache>
                <c:formatCode>0.0</c:formatCode>
                <c:ptCount val="4"/>
                <c:pt idx="0">
                  <c:v>833</c:v>
                </c:pt>
                <c:pt idx="1">
                  <c:v>56</c:v>
                </c:pt>
                <c:pt idx="2">
                  <c:v>588</c:v>
                </c:pt>
                <c:pt idx="3">
                  <c:v>77</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0"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dynamique3</c:name>
    <c:fmtId val="1"/>
  </c:pivotSource>
  <c:chart>
    <c:title>
      <c:tx>
        <c:rich>
          <a:bodyPr/>
          <a:lstStyle/>
          <a:p>
            <a:pPr>
              <a:defRPr sz="1100" b="1"/>
            </a:pPr>
            <a:r>
              <a:rPr lang="fr-FR"/>
              <a:t>Répartition par métier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MIXITE!$E$61:$E$62</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MIXITE!$D$63:$D$68</c:f>
              <c:strCache>
                <c:ptCount val="5"/>
                <c:pt idx="0">
                  <c:v>Administratif</c:v>
                </c:pt>
                <c:pt idx="1">
                  <c:v>Fabrication</c:v>
                </c:pt>
                <c:pt idx="2">
                  <c:v>Conditionnement</c:v>
                </c:pt>
                <c:pt idx="3">
                  <c:v>Direction</c:v>
                </c:pt>
                <c:pt idx="4">
                  <c:v>Direction adjoint</c:v>
                </c:pt>
              </c:strCache>
            </c:strRef>
          </c:cat>
          <c:val>
            <c:numRef>
              <c:f>MIXITE!$E$63:$E$68</c:f>
              <c:numCache>
                <c:formatCode>General</c:formatCode>
                <c:ptCount val="5"/>
                <c:pt idx="0">
                  <c:v>41</c:v>
                </c:pt>
                <c:pt idx="1">
                  <c:v>83</c:v>
                </c:pt>
                <c:pt idx="2">
                  <c:v>70</c:v>
                </c:pt>
                <c:pt idx="3">
                  <c:v>2</c:v>
                </c:pt>
                <c:pt idx="4">
                  <c:v>4</c:v>
                </c:pt>
              </c:numCache>
            </c:numRef>
          </c:val>
          <c:extLst>
            <c:ext xmlns:c16="http://schemas.microsoft.com/office/drawing/2014/chart" uri="{C3380CC4-5D6E-409C-BE32-E72D297353CC}">
              <c16:uniqueId val="{00000003-8318-044C-B80B-C54BBA85CBF6}"/>
            </c:ext>
          </c:extLst>
        </c:ser>
        <c:ser>
          <c:idx val="1"/>
          <c:order val="1"/>
          <c:tx>
            <c:strRef>
              <c:f>MIXITE!$F$61:$F$62</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MIXITE!$D$63:$D$68</c:f>
              <c:strCache>
                <c:ptCount val="5"/>
                <c:pt idx="0">
                  <c:v>Administratif</c:v>
                </c:pt>
                <c:pt idx="1">
                  <c:v>Fabrication</c:v>
                </c:pt>
                <c:pt idx="2">
                  <c:v>Conditionnement</c:v>
                </c:pt>
                <c:pt idx="3">
                  <c:v>Direction</c:v>
                </c:pt>
                <c:pt idx="4">
                  <c:v>Direction adjoint</c:v>
                </c:pt>
              </c:strCache>
            </c:strRef>
          </c:cat>
          <c:val>
            <c:numRef>
              <c:f>MIXITE!$F$63:$F$68</c:f>
              <c:numCache>
                <c:formatCode>General</c:formatCode>
                <c:ptCount val="5"/>
                <c:pt idx="0">
                  <c:v>27</c:v>
                </c:pt>
                <c:pt idx="1">
                  <c:v>49</c:v>
                </c:pt>
                <c:pt idx="2">
                  <c:v>38</c:v>
                </c:pt>
                <c:pt idx="3">
                  <c:v>4</c:v>
                </c:pt>
                <c:pt idx="4">
                  <c:v>2</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PARCOURS!$E$246</c:f>
              <c:strCache>
                <c:ptCount val="1"/>
                <c:pt idx="0">
                  <c:v>rémunération</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PARCOURS!$D$247:$D$308</c:f>
              <c:numCache>
                <c:formatCode>@</c:formatCode>
                <c:ptCount val="62"/>
                <c:pt idx="0">
                  <c:v>60</c:v>
                </c:pt>
                <c:pt idx="1">
                  <c:v>61</c:v>
                </c:pt>
                <c:pt idx="2">
                  <c:v>60</c:v>
                </c:pt>
                <c:pt idx="3">
                  <c:v>60</c:v>
                </c:pt>
                <c:pt idx="4">
                  <c:v>54</c:v>
                </c:pt>
                <c:pt idx="5">
                  <c:v>55</c:v>
                </c:pt>
                <c:pt idx="6">
                  <c:v>57</c:v>
                </c:pt>
                <c:pt idx="7">
                  <c:v>60</c:v>
                </c:pt>
                <c:pt idx="8">
                  <c:v>50</c:v>
                </c:pt>
                <c:pt idx="9">
                  <c:v>58</c:v>
                </c:pt>
                <c:pt idx="10">
                  <c:v>52</c:v>
                </c:pt>
                <c:pt idx="11">
                  <c:v>60</c:v>
                </c:pt>
                <c:pt idx="12">
                  <c:v>58</c:v>
                </c:pt>
                <c:pt idx="13">
                  <c:v>52</c:v>
                </c:pt>
                <c:pt idx="14">
                  <c:v>48</c:v>
                </c:pt>
                <c:pt idx="15">
                  <c:v>46</c:v>
                </c:pt>
                <c:pt idx="16">
                  <c:v>52</c:v>
                </c:pt>
                <c:pt idx="17">
                  <c:v>44</c:v>
                </c:pt>
                <c:pt idx="18">
                  <c:v>47</c:v>
                </c:pt>
                <c:pt idx="19">
                  <c:v>42</c:v>
                </c:pt>
                <c:pt idx="20">
                  <c:v>44</c:v>
                </c:pt>
                <c:pt idx="21">
                  <c:v>55</c:v>
                </c:pt>
                <c:pt idx="22">
                  <c:v>41</c:v>
                </c:pt>
                <c:pt idx="23">
                  <c:v>58</c:v>
                </c:pt>
                <c:pt idx="24">
                  <c:v>40</c:v>
                </c:pt>
                <c:pt idx="25">
                  <c:v>42</c:v>
                </c:pt>
                <c:pt idx="26">
                  <c:v>60</c:v>
                </c:pt>
                <c:pt idx="27">
                  <c:v>50</c:v>
                </c:pt>
                <c:pt idx="28">
                  <c:v>47</c:v>
                </c:pt>
                <c:pt idx="29">
                  <c:v>0</c:v>
                </c:pt>
                <c:pt idx="30">
                  <c:v>61</c:v>
                </c:pt>
                <c:pt idx="31">
                  <c:v>57</c:v>
                </c:pt>
                <c:pt idx="32">
                  <c:v>62</c:v>
                </c:pt>
                <c:pt idx="33">
                  <c:v>60</c:v>
                </c:pt>
                <c:pt idx="34">
                  <c:v>54</c:v>
                </c:pt>
                <c:pt idx="35">
                  <c:v>56</c:v>
                </c:pt>
                <c:pt idx="36">
                  <c:v>59</c:v>
                </c:pt>
                <c:pt idx="37">
                  <c:v>54</c:v>
                </c:pt>
                <c:pt idx="38">
                  <c:v>59</c:v>
                </c:pt>
                <c:pt idx="39">
                  <c:v>58</c:v>
                </c:pt>
                <c:pt idx="40">
                  <c:v>55</c:v>
                </c:pt>
                <c:pt idx="41">
                  <c:v>59</c:v>
                </c:pt>
                <c:pt idx="42">
                  <c:v>53</c:v>
                </c:pt>
                <c:pt idx="43">
                  <c:v>60</c:v>
                </c:pt>
                <c:pt idx="44">
                  <c:v>51</c:v>
                </c:pt>
                <c:pt idx="45">
                  <c:v>53</c:v>
                </c:pt>
                <c:pt idx="46">
                  <c:v>49</c:v>
                </c:pt>
                <c:pt idx="47">
                  <c:v>50</c:v>
                </c:pt>
                <c:pt idx="48">
                  <c:v>47</c:v>
                </c:pt>
                <c:pt idx="49">
                  <c:v>58</c:v>
                </c:pt>
                <c:pt idx="50">
                  <c:v>60</c:v>
                </c:pt>
                <c:pt idx="51">
                  <c:v>60</c:v>
                </c:pt>
                <c:pt idx="52">
                  <c:v>53</c:v>
                </c:pt>
                <c:pt idx="53">
                  <c:v>45</c:v>
                </c:pt>
                <c:pt idx="54">
                  <c:v>53</c:v>
                </c:pt>
                <c:pt idx="55">
                  <c:v>43</c:v>
                </c:pt>
                <c:pt idx="56">
                  <c:v>58</c:v>
                </c:pt>
                <c:pt idx="57">
                  <c:v>54</c:v>
                </c:pt>
                <c:pt idx="58">
                  <c:v>40</c:v>
                </c:pt>
                <c:pt idx="59">
                  <c:v>39</c:v>
                </c:pt>
                <c:pt idx="60">
                  <c:v>37</c:v>
                </c:pt>
                <c:pt idx="61">
                  <c:v>51</c:v>
                </c:pt>
              </c:numCache>
            </c:numRef>
          </c:xVal>
          <c:yVal>
            <c:numRef>
              <c:f>PARCOURS!$E$247:$E$308</c:f>
              <c:numCache>
                <c:formatCode>0</c:formatCode>
                <c:ptCount val="62"/>
                <c:pt idx="0">
                  <c:v>20320</c:v>
                </c:pt>
                <c:pt idx="1">
                  <c:v>14320</c:v>
                </c:pt>
                <c:pt idx="2">
                  <c:v>25000</c:v>
                </c:pt>
                <c:pt idx="3">
                  <c:v>46600</c:v>
                </c:pt>
                <c:pt idx="4">
                  <c:v>16000</c:v>
                </c:pt>
                <c:pt idx="5">
                  <c:v>40000</c:v>
                </c:pt>
                <c:pt idx="6">
                  <c:v>47920</c:v>
                </c:pt>
                <c:pt idx="7">
                  <c:v>17200</c:v>
                </c:pt>
                <c:pt idx="8">
                  <c:v>37360</c:v>
                </c:pt>
                <c:pt idx="9">
                  <c:v>20080</c:v>
                </c:pt>
                <c:pt idx="10">
                  <c:v>30760</c:v>
                </c:pt>
                <c:pt idx="11">
                  <c:v>20320</c:v>
                </c:pt>
                <c:pt idx="12">
                  <c:v>30760</c:v>
                </c:pt>
                <c:pt idx="13">
                  <c:v>17200</c:v>
                </c:pt>
                <c:pt idx="14">
                  <c:v>61000</c:v>
                </c:pt>
                <c:pt idx="15">
                  <c:v>19120</c:v>
                </c:pt>
                <c:pt idx="16">
                  <c:v>34360</c:v>
                </c:pt>
                <c:pt idx="17">
                  <c:v>18400</c:v>
                </c:pt>
                <c:pt idx="18">
                  <c:v>20320</c:v>
                </c:pt>
                <c:pt idx="19">
                  <c:v>19600</c:v>
                </c:pt>
                <c:pt idx="20">
                  <c:v>25000</c:v>
                </c:pt>
                <c:pt idx="21">
                  <c:v>22720</c:v>
                </c:pt>
                <c:pt idx="22">
                  <c:v>34720</c:v>
                </c:pt>
                <c:pt idx="23">
                  <c:v>61000</c:v>
                </c:pt>
                <c:pt idx="24">
                  <c:v>28600</c:v>
                </c:pt>
                <c:pt idx="25">
                  <c:v>37840</c:v>
                </c:pt>
                <c:pt idx="26">
                  <c:v>37240</c:v>
                </c:pt>
                <c:pt idx="27">
                  <c:v>57400</c:v>
                </c:pt>
                <c:pt idx="28">
                  <c:v>22720</c:v>
                </c:pt>
                <c:pt idx="29">
                  <c:v>0</c:v>
                </c:pt>
                <c:pt idx="30">
                  <c:v>22240</c:v>
                </c:pt>
                <c:pt idx="31">
                  <c:v>47920</c:v>
                </c:pt>
                <c:pt idx="32">
                  <c:v>35080</c:v>
                </c:pt>
                <c:pt idx="33">
                  <c:v>32920</c:v>
                </c:pt>
                <c:pt idx="34">
                  <c:v>14320</c:v>
                </c:pt>
                <c:pt idx="35">
                  <c:v>53800</c:v>
                </c:pt>
                <c:pt idx="36">
                  <c:v>12400</c:v>
                </c:pt>
                <c:pt idx="37">
                  <c:v>63400</c:v>
                </c:pt>
                <c:pt idx="38">
                  <c:v>37240</c:v>
                </c:pt>
                <c:pt idx="39">
                  <c:v>31840</c:v>
                </c:pt>
                <c:pt idx="40">
                  <c:v>10720</c:v>
                </c:pt>
                <c:pt idx="41">
                  <c:v>26800</c:v>
                </c:pt>
                <c:pt idx="42">
                  <c:v>47200</c:v>
                </c:pt>
                <c:pt idx="43">
                  <c:v>36880</c:v>
                </c:pt>
                <c:pt idx="44">
                  <c:v>64000</c:v>
                </c:pt>
                <c:pt idx="45">
                  <c:v>25720</c:v>
                </c:pt>
                <c:pt idx="46">
                  <c:v>11200</c:v>
                </c:pt>
                <c:pt idx="47">
                  <c:v>16720</c:v>
                </c:pt>
                <c:pt idx="48">
                  <c:v>35440</c:v>
                </c:pt>
                <c:pt idx="49">
                  <c:v>10960</c:v>
                </c:pt>
                <c:pt idx="50">
                  <c:v>14800</c:v>
                </c:pt>
                <c:pt idx="51">
                  <c:v>22000</c:v>
                </c:pt>
                <c:pt idx="52">
                  <c:v>51280</c:v>
                </c:pt>
                <c:pt idx="53">
                  <c:v>24280</c:v>
                </c:pt>
                <c:pt idx="54">
                  <c:v>10960</c:v>
                </c:pt>
                <c:pt idx="55">
                  <c:v>41800</c:v>
                </c:pt>
                <c:pt idx="56">
                  <c:v>21760</c:v>
                </c:pt>
                <c:pt idx="57">
                  <c:v>24280</c:v>
                </c:pt>
                <c:pt idx="58">
                  <c:v>36400</c:v>
                </c:pt>
                <c:pt idx="59">
                  <c:v>49840</c:v>
                </c:pt>
                <c:pt idx="60">
                  <c:v>23440</c:v>
                </c:pt>
                <c:pt idx="61">
                  <c:v>43000</c:v>
                </c:pt>
              </c:numCache>
            </c:numRef>
          </c:yVal>
          <c:smooth val="0"/>
          <c:extLst>
            <c:ext xmlns:c16="http://schemas.microsoft.com/office/drawing/2014/chart" uri="{C3380CC4-5D6E-409C-BE32-E72D297353CC}">
              <c16:uniqueId val="{00000000-9A58-694D-B8AF-952CD93D20CD}"/>
            </c:ext>
          </c:extLst>
        </c:ser>
        <c:dLbls>
          <c:showLegendKey val="0"/>
          <c:showVal val="0"/>
          <c:showCatName val="0"/>
          <c:showSerName val="0"/>
          <c:showPercent val="0"/>
          <c:showBubbleSize val="0"/>
        </c:dLbls>
        <c:axId val="1856821536"/>
        <c:axId val="1564643744"/>
      </c:scatterChart>
      <c:valAx>
        <c:axId val="185682153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64643744"/>
        <c:crosses val="autoZero"/>
        <c:crossBetween val="midCat"/>
      </c:valAx>
      <c:valAx>
        <c:axId val="1564643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6821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dynamique6</c:name>
    <c:fmtId val="0"/>
  </c:pivotSource>
  <c:chart>
    <c:title>
      <c:tx>
        <c:rich>
          <a:bodyPr/>
          <a:lstStyle/>
          <a:p>
            <a:pPr>
              <a:defRPr sz="1100" b="1"/>
            </a:pPr>
            <a:r>
              <a:rPr lang="fr-FR"/>
              <a:t>Répartition par durée du travail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'CONDITIONS TRAVAIL'!$E$26:$E$27</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TRAVAIL'!$D$28:$D$30</c:f>
              <c:strCache>
                <c:ptCount val="2"/>
                <c:pt idx="0">
                  <c:v>TC</c:v>
                </c:pt>
                <c:pt idx="1">
                  <c:v>TP</c:v>
                </c:pt>
              </c:strCache>
            </c:strRef>
          </c:cat>
          <c:val>
            <c:numRef>
              <c:f>'CONDITIONS TRAVAIL'!$E$28:$E$30</c:f>
              <c:numCache>
                <c:formatCode>General</c:formatCode>
                <c:ptCount val="2"/>
                <c:pt idx="0">
                  <c:v>97</c:v>
                </c:pt>
                <c:pt idx="1">
                  <c:v>103</c:v>
                </c:pt>
              </c:numCache>
            </c:numRef>
          </c:val>
          <c:extLst>
            <c:ext xmlns:c16="http://schemas.microsoft.com/office/drawing/2014/chart" uri="{C3380CC4-5D6E-409C-BE32-E72D297353CC}">
              <c16:uniqueId val="{00000003-8318-044C-B80B-C54BBA85CBF6}"/>
            </c:ext>
          </c:extLst>
        </c:ser>
        <c:ser>
          <c:idx val="1"/>
          <c:order val="1"/>
          <c:tx>
            <c:strRef>
              <c:f>'CONDITIONS TRAVAIL'!$F$26:$F$27</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TRAVAIL'!$D$28:$D$30</c:f>
              <c:strCache>
                <c:ptCount val="2"/>
                <c:pt idx="0">
                  <c:v>TC</c:v>
                </c:pt>
                <c:pt idx="1">
                  <c:v>TP</c:v>
                </c:pt>
              </c:strCache>
            </c:strRef>
          </c:cat>
          <c:val>
            <c:numRef>
              <c:f>'CONDITIONS TRAVAIL'!$F$28:$F$30</c:f>
              <c:numCache>
                <c:formatCode>General</c:formatCode>
                <c:ptCount val="2"/>
                <c:pt idx="0">
                  <c:v>68</c:v>
                </c:pt>
                <c:pt idx="1">
                  <c:v>52</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dynamique7</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durée du travail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TRAVAIL'!$M$26:$M$27</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TRAVAIL'!$L$28:$L$30</c:f>
              <c:strCache>
                <c:ptCount val="2"/>
                <c:pt idx="0">
                  <c:v>TC</c:v>
                </c:pt>
                <c:pt idx="1">
                  <c:v>TP</c:v>
                </c:pt>
              </c:strCache>
            </c:strRef>
          </c:cat>
          <c:val>
            <c:numRef>
              <c:f>'CONDITIONS TRAVAIL'!$M$28:$M$30</c:f>
              <c:numCache>
                <c:formatCode>0%</c:formatCode>
                <c:ptCount val="2"/>
                <c:pt idx="0">
                  <c:v>0.58787878787878789</c:v>
                </c:pt>
                <c:pt idx="1">
                  <c:v>0.6645161290322581</c:v>
                </c:pt>
              </c:numCache>
            </c:numRef>
          </c:val>
          <c:extLst>
            <c:ext xmlns:c16="http://schemas.microsoft.com/office/drawing/2014/chart" uri="{C3380CC4-5D6E-409C-BE32-E72D297353CC}">
              <c16:uniqueId val="{00000003-6F46-9648-AD16-9037C71852F9}"/>
            </c:ext>
          </c:extLst>
        </c:ser>
        <c:ser>
          <c:idx val="1"/>
          <c:order val="1"/>
          <c:tx>
            <c:strRef>
              <c:f>'CONDITIONS TRAVAIL'!$N$26:$N$27</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TRAVAIL'!$L$28:$L$30</c:f>
              <c:strCache>
                <c:ptCount val="2"/>
                <c:pt idx="0">
                  <c:v>TC</c:v>
                </c:pt>
                <c:pt idx="1">
                  <c:v>TP</c:v>
                </c:pt>
              </c:strCache>
            </c:strRef>
          </c:cat>
          <c:val>
            <c:numRef>
              <c:f>'CONDITIONS TRAVAIL'!$N$28:$N$30</c:f>
              <c:numCache>
                <c:formatCode>0%</c:formatCode>
                <c:ptCount val="2"/>
                <c:pt idx="0">
                  <c:v>0.41212121212121211</c:v>
                </c:pt>
                <c:pt idx="1">
                  <c:v>0.33548387096774196</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dynamique2</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selon les durées du travail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TRAVAIL'!$T$26:$T$27</c:f>
              <c:strCache>
                <c:ptCount val="1"/>
                <c:pt idx="0">
                  <c:v>TC</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TRAVAIL'!$S$28:$S$30</c:f>
              <c:strCache>
                <c:ptCount val="2"/>
                <c:pt idx="0">
                  <c:v>F</c:v>
                </c:pt>
                <c:pt idx="1">
                  <c:v>H</c:v>
                </c:pt>
              </c:strCache>
            </c:strRef>
          </c:cat>
          <c:val>
            <c:numRef>
              <c:f>'CONDITIONS TRAVAIL'!$T$28:$T$30</c:f>
              <c:numCache>
                <c:formatCode>0%</c:formatCode>
                <c:ptCount val="2"/>
                <c:pt idx="0">
                  <c:v>0.56666666666666665</c:v>
                </c:pt>
                <c:pt idx="1">
                  <c:v>0.48499999999999999</c:v>
                </c:pt>
              </c:numCache>
            </c:numRef>
          </c:val>
          <c:extLst>
            <c:ext xmlns:c16="http://schemas.microsoft.com/office/drawing/2014/chart" uri="{C3380CC4-5D6E-409C-BE32-E72D297353CC}">
              <c16:uniqueId val="{00000003-6F46-9648-AD16-9037C71852F9}"/>
            </c:ext>
          </c:extLst>
        </c:ser>
        <c:ser>
          <c:idx val="1"/>
          <c:order val="1"/>
          <c:tx>
            <c:strRef>
              <c:f>'CONDITIONS TRAVAIL'!$U$26:$U$27</c:f>
              <c:strCache>
                <c:ptCount val="1"/>
                <c:pt idx="0">
                  <c:v>TP</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TRAVAIL'!$S$28:$S$30</c:f>
              <c:strCache>
                <c:ptCount val="2"/>
                <c:pt idx="0">
                  <c:v>F</c:v>
                </c:pt>
                <c:pt idx="1">
                  <c:v>H</c:v>
                </c:pt>
              </c:strCache>
            </c:strRef>
          </c:cat>
          <c:val>
            <c:numRef>
              <c:f>'CONDITIONS TRAVAIL'!$U$28:$U$30</c:f>
              <c:numCache>
                <c:formatCode>0%</c:formatCode>
                <c:ptCount val="2"/>
                <c:pt idx="0">
                  <c:v>0.43333333333333335</c:v>
                </c:pt>
                <c:pt idx="1">
                  <c:v>0.51500000000000001</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dynamique45</c:name>
    <c:fmtId val="0"/>
  </c:pivotSource>
  <c:chart>
    <c:title>
      <c:tx>
        <c:rich>
          <a:bodyPr/>
          <a:lstStyle/>
          <a:p>
            <a:pPr>
              <a:defRPr sz="1100" b="1"/>
            </a:pPr>
            <a:r>
              <a:rPr lang="fr-FR"/>
              <a:t>Répartition par organisation du travail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'CONDITIONS TRAVAIL'!$E$65:$E$66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TRAVAIL'!$D$67:$D$69</c:f>
              <c:strCache>
                <c:ptCount val="2"/>
                <c:pt idx="0">
                  <c:v>JOURNEE</c:v>
                </c:pt>
                <c:pt idx="1">
                  <c:v>NUIT</c:v>
                </c:pt>
              </c:strCache>
            </c:strRef>
          </c:cat>
          <c:val>
            <c:numRef>
              <c:f>'CONDITIONS TRAVAIL'!$E$67:$E$69</c:f>
              <c:numCache>
                <c:formatCode>General</c:formatCode>
                <c:ptCount val="2"/>
                <c:pt idx="0">
                  <c:v>105</c:v>
                </c:pt>
                <c:pt idx="1">
                  <c:v>95</c:v>
                </c:pt>
              </c:numCache>
            </c:numRef>
          </c:val>
          <c:extLst>
            <c:ext xmlns:c16="http://schemas.microsoft.com/office/drawing/2014/chart" uri="{C3380CC4-5D6E-409C-BE32-E72D297353CC}">
              <c16:uniqueId val="{00000003-8318-044C-B80B-C54BBA85CBF6}"/>
            </c:ext>
          </c:extLst>
        </c:ser>
        <c:ser>
          <c:idx val="1"/>
          <c:order val="1"/>
          <c:tx>
            <c:strRef>
              <c:f>'CONDITIONS TRAVAIL'!$F$65:$F$66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TRAVAIL'!$D$67:$D$69</c:f>
              <c:strCache>
                <c:ptCount val="2"/>
                <c:pt idx="0">
                  <c:v>JOURNEE</c:v>
                </c:pt>
                <c:pt idx="1">
                  <c:v>NUIT</c:v>
                </c:pt>
              </c:strCache>
            </c:strRef>
          </c:cat>
          <c:val>
            <c:numRef>
              <c:f>'CONDITIONS TRAVAIL'!$F$67:$F$69</c:f>
              <c:numCache>
                <c:formatCode>General</c:formatCode>
                <c:ptCount val="2"/>
                <c:pt idx="0">
                  <c:v>64</c:v>
                </c:pt>
                <c:pt idx="1">
                  <c:v>56</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dynamique44</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organisation de travail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TRAVAIL'!$M$65:$M$66</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TRAVAIL'!$L$67:$L$69</c:f>
              <c:strCache>
                <c:ptCount val="2"/>
                <c:pt idx="0">
                  <c:v>JOURNEE</c:v>
                </c:pt>
                <c:pt idx="1">
                  <c:v>NUIT</c:v>
                </c:pt>
              </c:strCache>
            </c:strRef>
          </c:cat>
          <c:val>
            <c:numRef>
              <c:f>'CONDITIONS TRAVAIL'!$M$67:$M$69</c:f>
              <c:numCache>
                <c:formatCode>0%</c:formatCode>
                <c:ptCount val="2"/>
                <c:pt idx="0">
                  <c:v>0.62130177514792895</c:v>
                </c:pt>
                <c:pt idx="1">
                  <c:v>0.62913907284768211</c:v>
                </c:pt>
              </c:numCache>
            </c:numRef>
          </c:val>
          <c:extLst>
            <c:ext xmlns:c16="http://schemas.microsoft.com/office/drawing/2014/chart" uri="{C3380CC4-5D6E-409C-BE32-E72D297353CC}">
              <c16:uniqueId val="{00000003-6F46-9648-AD16-9037C71852F9}"/>
            </c:ext>
          </c:extLst>
        </c:ser>
        <c:ser>
          <c:idx val="1"/>
          <c:order val="1"/>
          <c:tx>
            <c:strRef>
              <c:f>'CONDITIONS TRAVAIL'!$N$65:$N$66</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TRAVAIL'!$L$67:$L$69</c:f>
              <c:strCache>
                <c:ptCount val="2"/>
                <c:pt idx="0">
                  <c:v>JOURNEE</c:v>
                </c:pt>
                <c:pt idx="1">
                  <c:v>NUIT</c:v>
                </c:pt>
              </c:strCache>
            </c:strRef>
          </c:cat>
          <c:val>
            <c:numRef>
              <c:f>'CONDITIONS TRAVAIL'!$N$67:$N$69</c:f>
              <c:numCache>
                <c:formatCode>0%</c:formatCode>
                <c:ptCount val="2"/>
                <c:pt idx="0">
                  <c:v>0.378698224852071</c:v>
                </c:pt>
                <c:pt idx="1">
                  <c:v>0.37086092715231789</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dynamique42</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selon les organisations de travail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TRAVAIL'!$T$65:$T$66</c:f>
              <c:strCache>
                <c:ptCount val="1"/>
                <c:pt idx="0">
                  <c:v>JOURNEE</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TRAVAIL'!$S$67:$S$69</c:f>
              <c:strCache>
                <c:ptCount val="2"/>
                <c:pt idx="0">
                  <c:v>F</c:v>
                </c:pt>
                <c:pt idx="1">
                  <c:v>H</c:v>
                </c:pt>
              </c:strCache>
            </c:strRef>
          </c:cat>
          <c:val>
            <c:numRef>
              <c:f>'CONDITIONS TRAVAIL'!$T$67:$T$69</c:f>
              <c:numCache>
                <c:formatCode>0%</c:formatCode>
                <c:ptCount val="2"/>
                <c:pt idx="0">
                  <c:v>0.53333333333333333</c:v>
                </c:pt>
                <c:pt idx="1">
                  <c:v>0.52500000000000002</c:v>
                </c:pt>
              </c:numCache>
            </c:numRef>
          </c:val>
          <c:extLst>
            <c:ext xmlns:c16="http://schemas.microsoft.com/office/drawing/2014/chart" uri="{C3380CC4-5D6E-409C-BE32-E72D297353CC}">
              <c16:uniqueId val="{00000003-6F46-9648-AD16-9037C71852F9}"/>
            </c:ext>
          </c:extLst>
        </c:ser>
        <c:ser>
          <c:idx val="1"/>
          <c:order val="1"/>
          <c:tx>
            <c:strRef>
              <c:f>'CONDITIONS TRAVAIL'!$U$65:$U$66</c:f>
              <c:strCache>
                <c:ptCount val="1"/>
                <c:pt idx="0">
                  <c:v>NUIT</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TRAVAIL'!$S$67:$S$69</c:f>
              <c:strCache>
                <c:ptCount val="2"/>
                <c:pt idx="0">
                  <c:v>F</c:v>
                </c:pt>
                <c:pt idx="1">
                  <c:v>H</c:v>
                </c:pt>
              </c:strCache>
            </c:strRef>
          </c:cat>
          <c:val>
            <c:numRef>
              <c:f>'CONDITIONS TRAVAIL'!$U$67:$U$69</c:f>
              <c:numCache>
                <c:formatCode>0%</c:formatCode>
                <c:ptCount val="2"/>
                <c:pt idx="0">
                  <c:v>0.46666666666666667</c:v>
                </c:pt>
                <c:pt idx="1">
                  <c:v>0.47499999999999998</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dynamique49</c:name>
    <c:fmtId val="0"/>
  </c:pivotSource>
  <c:chart>
    <c:title>
      <c:tx>
        <c:rich>
          <a:bodyPr/>
          <a:lstStyle/>
          <a:p>
            <a:pPr>
              <a:defRPr sz="1100" b="1"/>
            </a:pPr>
            <a:r>
              <a:rPr lang="fr-FR"/>
              <a:t>Répartition du nombre d'AT entre les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'CONDITIONS TRAVAIL'!$E$109:$E$110</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TRAVAIL'!$D$111:$D$113</c:f>
              <c:strCache>
                <c:ptCount val="2"/>
                <c:pt idx="0">
                  <c:v>0</c:v>
                </c:pt>
                <c:pt idx="1">
                  <c:v>1</c:v>
                </c:pt>
              </c:strCache>
            </c:strRef>
          </c:cat>
          <c:val>
            <c:numRef>
              <c:f>'CONDITIONS TRAVAIL'!$E$111:$E$113</c:f>
              <c:numCache>
                <c:formatCode>General</c:formatCode>
                <c:ptCount val="2"/>
                <c:pt idx="0">
                  <c:v>127</c:v>
                </c:pt>
                <c:pt idx="1">
                  <c:v>73</c:v>
                </c:pt>
              </c:numCache>
            </c:numRef>
          </c:val>
          <c:extLst>
            <c:ext xmlns:c16="http://schemas.microsoft.com/office/drawing/2014/chart" uri="{C3380CC4-5D6E-409C-BE32-E72D297353CC}">
              <c16:uniqueId val="{00000003-8318-044C-B80B-C54BBA85CBF6}"/>
            </c:ext>
          </c:extLst>
        </c:ser>
        <c:ser>
          <c:idx val="1"/>
          <c:order val="1"/>
          <c:tx>
            <c:strRef>
              <c:f>'CONDITIONS TRAVAIL'!$F$109:$F$110</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TRAVAIL'!$D$111:$D$113</c:f>
              <c:strCache>
                <c:ptCount val="2"/>
                <c:pt idx="0">
                  <c:v>0</c:v>
                </c:pt>
                <c:pt idx="1">
                  <c:v>1</c:v>
                </c:pt>
              </c:strCache>
            </c:strRef>
          </c:cat>
          <c:val>
            <c:numRef>
              <c:f>'CONDITIONS TRAVAIL'!$F$111:$F$113</c:f>
              <c:numCache>
                <c:formatCode>General</c:formatCode>
                <c:ptCount val="2"/>
                <c:pt idx="0">
                  <c:v>76</c:v>
                </c:pt>
                <c:pt idx="1">
                  <c:v>44</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dynamique48</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du nombre d'AT entre les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TRAVAIL'!$M$109:$M$110</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TRAVAIL'!$L$111:$L$113</c:f>
              <c:strCache>
                <c:ptCount val="2"/>
                <c:pt idx="0">
                  <c:v>0</c:v>
                </c:pt>
                <c:pt idx="1">
                  <c:v>1</c:v>
                </c:pt>
              </c:strCache>
            </c:strRef>
          </c:cat>
          <c:val>
            <c:numRef>
              <c:f>'CONDITIONS TRAVAIL'!$M$111:$M$113</c:f>
              <c:numCache>
                <c:formatCode>0%</c:formatCode>
                <c:ptCount val="2"/>
                <c:pt idx="0">
                  <c:v>0.62561576354679804</c:v>
                </c:pt>
                <c:pt idx="1">
                  <c:v>0.62393162393162394</c:v>
                </c:pt>
              </c:numCache>
            </c:numRef>
          </c:val>
          <c:extLst>
            <c:ext xmlns:c16="http://schemas.microsoft.com/office/drawing/2014/chart" uri="{C3380CC4-5D6E-409C-BE32-E72D297353CC}">
              <c16:uniqueId val="{00000003-6F46-9648-AD16-9037C71852F9}"/>
            </c:ext>
          </c:extLst>
        </c:ser>
        <c:ser>
          <c:idx val="1"/>
          <c:order val="1"/>
          <c:tx>
            <c:strRef>
              <c:f>'CONDITIONS TRAVAIL'!$N$109:$N$110</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TRAVAIL'!$L$111:$L$113</c:f>
              <c:strCache>
                <c:ptCount val="2"/>
                <c:pt idx="0">
                  <c:v>0</c:v>
                </c:pt>
                <c:pt idx="1">
                  <c:v>1</c:v>
                </c:pt>
              </c:strCache>
            </c:strRef>
          </c:cat>
          <c:val>
            <c:numRef>
              <c:f>'CONDITIONS TRAVAIL'!$N$111:$N$113</c:f>
              <c:numCache>
                <c:formatCode>0%</c:formatCode>
                <c:ptCount val="2"/>
                <c:pt idx="0">
                  <c:v>0.37438423645320196</c:v>
                </c:pt>
                <c:pt idx="1">
                  <c:v>0.37606837606837606</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2487471732572124"/>
          <c:y val="0.38317447161210111"/>
          <c:w val="5.6615026229761431E-2"/>
          <c:h val="0.39713565409586959"/>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dynamique46</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des accidents de travail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TRAVAIL'!$T$109:$T$110</c:f>
              <c:strCache>
                <c:ptCount val="1"/>
                <c:pt idx="0">
                  <c:v>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TRAVAIL'!$S$111:$S$113</c:f>
              <c:strCache>
                <c:ptCount val="2"/>
                <c:pt idx="0">
                  <c:v>F</c:v>
                </c:pt>
                <c:pt idx="1">
                  <c:v>H</c:v>
                </c:pt>
              </c:strCache>
            </c:strRef>
          </c:cat>
          <c:val>
            <c:numRef>
              <c:f>'CONDITIONS TRAVAIL'!$T$111:$T$113</c:f>
              <c:numCache>
                <c:formatCode>0%</c:formatCode>
                <c:ptCount val="2"/>
                <c:pt idx="0">
                  <c:v>0.6333333333333333</c:v>
                </c:pt>
                <c:pt idx="1">
                  <c:v>0.63500000000000001</c:v>
                </c:pt>
              </c:numCache>
            </c:numRef>
          </c:val>
          <c:extLst>
            <c:ext xmlns:c16="http://schemas.microsoft.com/office/drawing/2014/chart" uri="{C3380CC4-5D6E-409C-BE32-E72D297353CC}">
              <c16:uniqueId val="{00000003-6F46-9648-AD16-9037C71852F9}"/>
            </c:ext>
          </c:extLst>
        </c:ser>
        <c:ser>
          <c:idx val="1"/>
          <c:order val="1"/>
          <c:tx>
            <c:strRef>
              <c:f>'CONDITIONS TRAVAIL'!$U$109:$U$110</c:f>
              <c:strCache>
                <c:ptCount val="1"/>
                <c:pt idx="0">
                  <c:v>1</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TRAVAIL'!$S$111:$S$113</c:f>
              <c:strCache>
                <c:ptCount val="2"/>
                <c:pt idx="0">
                  <c:v>F</c:v>
                </c:pt>
                <c:pt idx="1">
                  <c:v>H</c:v>
                </c:pt>
              </c:strCache>
            </c:strRef>
          </c:cat>
          <c:val>
            <c:numRef>
              <c:f>'CONDITIONS TRAVAIL'!$U$111:$U$113</c:f>
              <c:numCache>
                <c:formatCode>0%</c:formatCode>
                <c:ptCount val="2"/>
                <c:pt idx="0">
                  <c:v>0.36666666666666664</c:v>
                </c:pt>
                <c:pt idx="1">
                  <c:v>0.36499999999999999</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88451044162957893"/>
          <c:y val="0.36259797525309334"/>
          <c:w val="0.11548955837042109"/>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c:name>
    <c:fmtId val="1"/>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métier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MIXITE!$N$61:$N$62</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MIXITE!$M$63:$M$68</c:f>
              <c:strCache>
                <c:ptCount val="5"/>
                <c:pt idx="0">
                  <c:v>Administratif</c:v>
                </c:pt>
                <c:pt idx="1">
                  <c:v>Fabrication</c:v>
                </c:pt>
                <c:pt idx="2">
                  <c:v>Conditionnement</c:v>
                </c:pt>
                <c:pt idx="3">
                  <c:v>Direction</c:v>
                </c:pt>
                <c:pt idx="4">
                  <c:v>Direction adjoint</c:v>
                </c:pt>
              </c:strCache>
            </c:strRef>
          </c:cat>
          <c:val>
            <c:numRef>
              <c:f>MIXITE!$N$63:$N$68</c:f>
              <c:numCache>
                <c:formatCode>0%</c:formatCode>
                <c:ptCount val="5"/>
                <c:pt idx="0">
                  <c:v>0.6029411764705882</c:v>
                </c:pt>
                <c:pt idx="1">
                  <c:v>0.62878787878787878</c:v>
                </c:pt>
                <c:pt idx="2">
                  <c:v>0.64814814814814814</c:v>
                </c:pt>
                <c:pt idx="3">
                  <c:v>0.33333333333333331</c:v>
                </c:pt>
                <c:pt idx="4">
                  <c:v>0.66666666666666663</c:v>
                </c:pt>
              </c:numCache>
            </c:numRef>
          </c:val>
          <c:extLst>
            <c:ext xmlns:c16="http://schemas.microsoft.com/office/drawing/2014/chart" uri="{C3380CC4-5D6E-409C-BE32-E72D297353CC}">
              <c16:uniqueId val="{00000003-6F46-9648-AD16-9037C71852F9}"/>
            </c:ext>
          </c:extLst>
        </c:ser>
        <c:ser>
          <c:idx val="1"/>
          <c:order val="1"/>
          <c:tx>
            <c:strRef>
              <c:f>MIXITE!$O$61:$O$62</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MIXITE!$M$63:$M$68</c:f>
              <c:strCache>
                <c:ptCount val="5"/>
                <c:pt idx="0">
                  <c:v>Administratif</c:v>
                </c:pt>
                <c:pt idx="1">
                  <c:v>Fabrication</c:v>
                </c:pt>
                <c:pt idx="2">
                  <c:v>Conditionnement</c:v>
                </c:pt>
                <c:pt idx="3">
                  <c:v>Direction</c:v>
                </c:pt>
                <c:pt idx="4">
                  <c:v>Direction adjoint</c:v>
                </c:pt>
              </c:strCache>
            </c:strRef>
          </c:cat>
          <c:val>
            <c:numRef>
              <c:f>MIXITE!$O$63:$O$68</c:f>
              <c:numCache>
                <c:formatCode>0%</c:formatCode>
                <c:ptCount val="5"/>
                <c:pt idx="0">
                  <c:v>0.39705882352941174</c:v>
                </c:pt>
                <c:pt idx="1">
                  <c:v>0.37121212121212122</c:v>
                </c:pt>
                <c:pt idx="2">
                  <c:v>0.35185185185185186</c:v>
                </c:pt>
                <c:pt idx="3">
                  <c:v>0.66666666666666663</c:v>
                </c:pt>
                <c:pt idx="4">
                  <c:v>0.33333333333333331</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dynamique52</c:name>
    <c:fmtId val="0"/>
  </c:pivotSource>
  <c:chart>
    <c:title>
      <c:tx>
        <c:rich>
          <a:bodyPr/>
          <a:lstStyle/>
          <a:p>
            <a:pPr>
              <a:defRPr sz="1100" b="1"/>
            </a:pPr>
            <a:r>
              <a:rPr lang="fr-FR"/>
              <a:t>Répartition des MP entre les F et les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'CONDITIONS TRAVAIL'!$E$152:$E$153</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TRAVAIL'!$D$154:$D$156</c:f>
              <c:strCache>
                <c:ptCount val="2"/>
                <c:pt idx="0">
                  <c:v>0</c:v>
                </c:pt>
                <c:pt idx="1">
                  <c:v>1</c:v>
                </c:pt>
              </c:strCache>
            </c:strRef>
          </c:cat>
          <c:val>
            <c:numRef>
              <c:f>'CONDITIONS TRAVAIL'!$E$154:$E$156</c:f>
              <c:numCache>
                <c:formatCode>General</c:formatCode>
                <c:ptCount val="2"/>
                <c:pt idx="0">
                  <c:v>128</c:v>
                </c:pt>
                <c:pt idx="1">
                  <c:v>72</c:v>
                </c:pt>
              </c:numCache>
            </c:numRef>
          </c:val>
          <c:extLst>
            <c:ext xmlns:c16="http://schemas.microsoft.com/office/drawing/2014/chart" uri="{C3380CC4-5D6E-409C-BE32-E72D297353CC}">
              <c16:uniqueId val="{00000003-8318-044C-B80B-C54BBA85CBF6}"/>
            </c:ext>
          </c:extLst>
        </c:ser>
        <c:ser>
          <c:idx val="1"/>
          <c:order val="1"/>
          <c:tx>
            <c:strRef>
              <c:f>'CONDITIONS TRAVAIL'!$F$152:$F$153</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TRAVAIL'!$D$154:$D$156</c:f>
              <c:strCache>
                <c:ptCount val="2"/>
                <c:pt idx="0">
                  <c:v>0</c:v>
                </c:pt>
                <c:pt idx="1">
                  <c:v>1</c:v>
                </c:pt>
              </c:strCache>
            </c:strRef>
          </c:cat>
          <c:val>
            <c:numRef>
              <c:f>'CONDITIONS TRAVAIL'!$F$154:$F$156</c:f>
              <c:numCache>
                <c:formatCode>General</c:formatCode>
                <c:ptCount val="2"/>
                <c:pt idx="0">
                  <c:v>83</c:v>
                </c:pt>
                <c:pt idx="1">
                  <c:v>37</c:v>
                </c:pt>
              </c:numCache>
            </c:numRef>
          </c:val>
          <c:extLst>
            <c:ext xmlns:c16="http://schemas.microsoft.com/office/drawing/2014/chart" uri="{C3380CC4-5D6E-409C-BE32-E72D297353CC}">
              <c16:uniqueId val="{00000004-8318-044C-B80B-C54BBA85CBF6}"/>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dynamique53</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des MP entre les F et les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TRAVAIL'!$M$152:$M$153</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TRAVAIL'!$L$154:$L$156</c:f>
              <c:strCache>
                <c:ptCount val="2"/>
                <c:pt idx="0">
                  <c:v>0</c:v>
                </c:pt>
                <c:pt idx="1">
                  <c:v>1</c:v>
                </c:pt>
              </c:strCache>
            </c:strRef>
          </c:cat>
          <c:val>
            <c:numRef>
              <c:f>'CONDITIONS TRAVAIL'!$M$154:$M$156</c:f>
              <c:numCache>
                <c:formatCode>0%</c:formatCode>
                <c:ptCount val="2"/>
                <c:pt idx="0">
                  <c:v>0.60663507109004744</c:v>
                </c:pt>
                <c:pt idx="1">
                  <c:v>0.66055045871559637</c:v>
                </c:pt>
              </c:numCache>
            </c:numRef>
          </c:val>
          <c:extLst>
            <c:ext xmlns:c16="http://schemas.microsoft.com/office/drawing/2014/chart" uri="{C3380CC4-5D6E-409C-BE32-E72D297353CC}">
              <c16:uniqueId val="{00000003-6F46-9648-AD16-9037C71852F9}"/>
            </c:ext>
          </c:extLst>
        </c:ser>
        <c:ser>
          <c:idx val="1"/>
          <c:order val="1"/>
          <c:tx>
            <c:strRef>
              <c:f>'CONDITIONS TRAVAIL'!$N$152:$N$153</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TRAVAIL'!$L$154:$L$156</c:f>
              <c:strCache>
                <c:ptCount val="2"/>
                <c:pt idx="0">
                  <c:v>0</c:v>
                </c:pt>
                <c:pt idx="1">
                  <c:v>1</c:v>
                </c:pt>
              </c:strCache>
            </c:strRef>
          </c:cat>
          <c:val>
            <c:numRef>
              <c:f>'CONDITIONS TRAVAIL'!$N$154:$N$156</c:f>
              <c:numCache>
                <c:formatCode>0%</c:formatCode>
                <c:ptCount val="2"/>
                <c:pt idx="0">
                  <c:v>0.39336492890995262</c:v>
                </c:pt>
                <c:pt idx="1">
                  <c:v>0.33944954128440369</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3-1.xlsx]CONDITIONS TRAVAIL!Tableau croisé dynamique51</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des Maladies Professionnelles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marker>
          <c:symbol val="none"/>
        </c:marker>
        <c:dLbl>
          <c:idx val="0"/>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'CONDITIONS TRAVAIL'!$T$152:$T$153</c:f>
              <c:strCache>
                <c:ptCount val="1"/>
                <c:pt idx="0">
                  <c:v>0</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TRAVAIL'!$S$154:$S$156</c:f>
              <c:strCache>
                <c:ptCount val="2"/>
                <c:pt idx="0">
                  <c:v>F</c:v>
                </c:pt>
                <c:pt idx="1">
                  <c:v>H</c:v>
                </c:pt>
              </c:strCache>
            </c:strRef>
          </c:cat>
          <c:val>
            <c:numRef>
              <c:f>'CONDITIONS TRAVAIL'!$T$154:$T$156</c:f>
              <c:numCache>
                <c:formatCode>0%</c:formatCode>
                <c:ptCount val="2"/>
                <c:pt idx="0">
                  <c:v>0.69166666666666665</c:v>
                </c:pt>
                <c:pt idx="1">
                  <c:v>0.64</c:v>
                </c:pt>
              </c:numCache>
            </c:numRef>
          </c:val>
          <c:extLst>
            <c:ext xmlns:c16="http://schemas.microsoft.com/office/drawing/2014/chart" uri="{C3380CC4-5D6E-409C-BE32-E72D297353CC}">
              <c16:uniqueId val="{00000003-6F46-9648-AD16-9037C71852F9}"/>
            </c:ext>
          </c:extLst>
        </c:ser>
        <c:ser>
          <c:idx val="1"/>
          <c:order val="1"/>
          <c:tx>
            <c:strRef>
              <c:f>'CONDITIONS TRAVAIL'!$U$152:$U$153</c:f>
              <c:strCache>
                <c:ptCount val="1"/>
                <c:pt idx="0">
                  <c:v>1</c:v>
                </c:pt>
              </c:strCache>
            </c:strRef>
          </c:tx>
          <c:invertIfNegative val="0"/>
          <c:dLbls>
            <c:spPr>
              <a:noFill/>
              <a:ln>
                <a:noFill/>
              </a:ln>
              <a:effectLst/>
            </c:spPr>
            <c:txPr>
              <a:bodyPr wrap="square" lIns="38100" tIns="19050" rIns="38100" bIns="19050" anchor="ctr">
                <a:spAutoFit/>
              </a:bodyPr>
              <a:lstStyle/>
              <a:p>
                <a:pPr>
                  <a:defRPr sz="110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'CONDITIONS TRAVAIL'!$S$154:$S$156</c:f>
              <c:strCache>
                <c:ptCount val="2"/>
                <c:pt idx="0">
                  <c:v>F</c:v>
                </c:pt>
                <c:pt idx="1">
                  <c:v>H</c:v>
                </c:pt>
              </c:strCache>
            </c:strRef>
          </c:cat>
          <c:val>
            <c:numRef>
              <c:f>'CONDITIONS TRAVAIL'!$U$154:$U$156</c:f>
              <c:numCache>
                <c:formatCode>0%</c:formatCode>
                <c:ptCount val="2"/>
                <c:pt idx="0">
                  <c:v>0.30833333333333335</c:v>
                </c:pt>
                <c:pt idx="1">
                  <c:v>0.36</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1803486736556805"/>
          <c:y val="0.36259797525309334"/>
          <c:w val="8.1965132634431989E-2"/>
          <c:h val="0.43454713160854891"/>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[Outil_Diagnostic_Egalite_INDEX_21-12-20 3-1.xlsx]ARTICULATION TEMPS!Tableau croisé dynamique3</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fr-FR" sz="1200" b="1"/>
              <a:t>Répartition du télétravail F/H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9D2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'ARTICULATION TEMPS'!$E$71:$E$72</c:f>
              <c:strCache>
                <c:ptCount val="1"/>
                <c:pt idx="0">
                  <c:v>F</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'ARTICULATION TEMPS'!$D$73:$D$79</c:f>
              <c:strCache>
                <c:ptCount val="6"/>
                <c:pt idx="0">
                  <c:v>0-1</c:v>
                </c:pt>
                <c:pt idx="1">
                  <c:v>0-2</c:v>
                </c:pt>
                <c:pt idx="2">
                  <c:v>0-3</c:v>
                </c:pt>
                <c:pt idx="3">
                  <c:v>0-4</c:v>
                </c:pt>
                <c:pt idx="4">
                  <c:v>0-5</c:v>
                </c:pt>
                <c:pt idx="5">
                  <c:v>0-8</c:v>
                </c:pt>
              </c:strCache>
            </c:strRef>
          </c:cat>
          <c:val>
            <c:numRef>
              <c:f>'ARTICULATION TEMPS'!$E$73:$E$79</c:f>
              <c:numCache>
                <c:formatCode>@</c:formatCode>
                <c:ptCount val="6"/>
                <c:pt idx="0">
                  <c:v>5</c:v>
                </c:pt>
                <c:pt idx="1">
                  <c:v>14</c:v>
                </c:pt>
                <c:pt idx="2">
                  <c:v>21</c:v>
                </c:pt>
                <c:pt idx="3">
                  <c:v>36</c:v>
                </c:pt>
                <c:pt idx="4">
                  <c:v>16</c:v>
                </c:pt>
                <c:pt idx="5">
                  <c:v>28</c:v>
                </c:pt>
              </c:numCache>
            </c:numRef>
          </c:val>
          <c:extLst>
            <c:ext xmlns:c16="http://schemas.microsoft.com/office/drawing/2014/chart" uri="{C3380CC4-5D6E-409C-BE32-E72D297353CC}">
              <c16:uniqueId val="{00000000-DB5B-FF4D-BF19-1EA0E6695B4A}"/>
            </c:ext>
          </c:extLst>
        </c:ser>
        <c:ser>
          <c:idx val="1"/>
          <c:order val="1"/>
          <c:tx>
            <c:strRef>
              <c:f>'ARTICULATION TEMPS'!$F$71:$F$72</c:f>
              <c:strCache>
                <c:ptCount val="1"/>
                <c:pt idx="0">
                  <c:v>H</c:v>
                </c:pt>
              </c:strCache>
            </c:strRef>
          </c:tx>
          <c:spPr>
            <a:solidFill>
              <a:srgbClr val="FF9D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'ARTICULATION TEMPS'!$D$73:$D$79</c:f>
              <c:strCache>
                <c:ptCount val="6"/>
                <c:pt idx="0">
                  <c:v>0-1</c:v>
                </c:pt>
                <c:pt idx="1">
                  <c:v>0-2</c:v>
                </c:pt>
                <c:pt idx="2">
                  <c:v>0-3</c:v>
                </c:pt>
                <c:pt idx="3">
                  <c:v>0-4</c:v>
                </c:pt>
                <c:pt idx="4">
                  <c:v>0-5</c:v>
                </c:pt>
                <c:pt idx="5">
                  <c:v>0-8</c:v>
                </c:pt>
              </c:strCache>
            </c:strRef>
          </c:cat>
          <c:val>
            <c:numRef>
              <c:f>'ARTICULATION TEMPS'!$F$73:$F$79</c:f>
              <c:numCache>
                <c:formatCode>@</c:formatCode>
                <c:ptCount val="6"/>
                <c:pt idx="0">
                  <c:v>24</c:v>
                </c:pt>
                <c:pt idx="1">
                  <c:v>27</c:v>
                </c:pt>
                <c:pt idx="2">
                  <c:v>17</c:v>
                </c:pt>
                <c:pt idx="3">
                  <c:v>73</c:v>
                </c:pt>
                <c:pt idx="4">
                  <c:v>29</c:v>
                </c:pt>
                <c:pt idx="5">
                  <c:v>30</c:v>
                </c:pt>
              </c:numCache>
            </c:numRef>
          </c:val>
          <c:extLst>
            <c:ext xmlns:c16="http://schemas.microsoft.com/office/drawing/2014/chart" uri="{C3380CC4-5D6E-409C-BE32-E72D297353CC}">
              <c16:uniqueId val="{00000001-DB5B-FF4D-BF19-1EA0E6695B4A}"/>
            </c:ext>
          </c:extLst>
        </c:ser>
        <c:dLbls>
          <c:dLblPos val="outEnd"/>
          <c:showLegendKey val="0"/>
          <c:showVal val="1"/>
          <c:showCatName val="0"/>
          <c:showSerName val="0"/>
          <c:showPercent val="0"/>
          <c:showBubbleSize val="0"/>
        </c:dLbls>
        <c:gapWidth val="219"/>
        <c:overlap val="-27"/>
        <c:axId val="111243728"/>
        <c:axId val="1797477535"/>
      </c:barChart>
      <c:catAx>
        <c:axId val="11124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7477535"/>
        <c:crosses val="autoZero"/>
        <c:auto val="1"/>
        <c:lblAlgn val="ctr"/>
        <c:lblOffset val="100"/>
        <c:noMultiLvlLbl val="0"/>
      </c:catAx>
      <c:valAx>
        <c:axId val="1797477535"/>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124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[Outil_Diagnostic_Egalite_INDEX_21-12-20 3-1.xlsx]ARTICULATION TEMPS!Tableau croisé dynamique4</c:name>
    <c:fmtId val="0"/>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Répartition en pourcentage</a:t>
            </a:r>
            <a:r>
              <a:rPr lang="fr-FR" sz="1100" b="1" baseline="0"/>
              <a:t> télétravail F/H</a:t>
            </a:r>
            <a:endParaRPr lang="fr-F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rgbClr val="FF9D2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'ARTICULATION TEMPS'!$J$71:$J$72</c:f>
              <c:strCache>
                <c:ptCount val="1"/>
                <c:pt idx="0">
                  <c:v>F</c:v>
                </c:pt>
              </c:strCache>
            </c:strRef>
          </c:tx>
          <c:spPr>
            <a:solidFill>
              <a:srgbClr val="FF9D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'ARTICULATION TEMPS'!$I$73:$I$79</c:f>
              <c:strCache>
                <c:ptCount val="6"/>
                <c:pt idx="0">
                  <c:v>0-1</c:v>
                </c:pt>
                <c:pt idx="1">
                  <c:v>0-2</c:v>
                </c:pt>
                <c:pt idx="2">
                  <c:v>0-3</c:v>
                </c:pt>
                <c:pt idx="3">
                  <c:v>0-4</c:v>
                </c:pt>
                <c:pt idx="4">
                  <c:v>0-5</c:v>
                </c:pt>
                <c:pt idx="5">
                  <c:v>0-8</c:v>
                </c:pt>
              </c:strCache>
            </c:strRef>
          </c:cat>
          <c:val>
            <c:numRef>
              <c:f>'ARTICULATION TEMPS'!$J$73:$J$79</c:f>
              <c:numCache>
                <c:formatCode>0%</c:formatCode>
                <c:ptCount val="6"/>
                <c:pt idx="0">
                  <c:v>0.17241379310344829</c:v>
                </c:pt>
                <c:pt idx="1">
                  <c:v>0.34146341463414637</c:v>
                </c:pt>
                <c:pt idx="2">
                  <c:v>0.55263157894736847</c:v>
                </c:pt>
                <c:pt idx="3">
                  <c:v>0.33027522935779818</c:v>
                </c:pt>
                <c:pt idx="4">
                  <c:v>0.35555555555555557</c:v>
                </c:pt>
                <c:pt idx="5">
                  <c:v>0.48275862068965519</c:v>
                </c:pt>
              </c:numCache>
            </c:numRef>
          </c:val>
          <c:extLst>
            <c:ext xmlns:c16="http://schemas.microsoft.com/office/drawing/2014/chart" uri="{C3380CC4-5D6E-409C-BE32-E72D297353CC}">
              <c16:uniqueId val="{00000000-050A-2B41-AA15-ABE7091432F5}"/>
            </c:ext>
          </c:extLst>
        </c:ser>
        <c:ser>
          <c:idx val="1"/>
          <c:order val="1"/>
          <c:tx>
            <c:strRef>
              <c:f>'ARTICULATION TEMPS'!$K$71:$K$72</c:f>
              <c:strCache>
                <c:ptCount val="1"/>
                <c:pt idx="0">
                  <c:v>H</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'ARTICULATION TEMPS'!$I$73:$I$79</c:f>
              <c:strCache>
                <c:ptCount val="6"/>
                <c:pt idx="0">
                  <c:v>0-1</c:v>
                </c:pt>
                <c:pt idx="1">
                  <c:v>0-2</c:v>
                </c:pt>
                <c:pt idx="2">
                  <c:v>0-3</c:v>
                </c:pt>
                <c:pt idx="3">
                  <c:v>0-4</c:v>
                </c:pt>
                <c:pt idx="4">
                  <c:v>0-5</c:v>
                </c:pt>
                <c:pt idx="5">
                  <c:v>0-8</c:v>
                </c:pt>
              </c:strCache>
            </c:strRef>
          </c:cat>
          <c:val>
            <c:numRef>
              <c:f>'ARTICULATION TEMPS'!$K$73:$K$79</c:f>
              <c:numCache>
                <c:formatCode>0%</c:formatCode>
                <c:ptCount val="6"/>
                <c:pt idx="0">
                  <c:v>0.82758620689655171</c:v>
                </c:pt>
                <c:pt idx="1">
                  <c:v>0.65853658536585369</c:v>
                </c:pt>
                <c:pt idx="2">
                  <c:v>0.44736842105263158</c:v>
                </c:pt>
                <c:pt idx="3">
                  <c:v>0.66972477064220182</c:v>
                </c:pt>
                <c:pt idx="4">
                  <c:v>0.64444444444444449</c:v>
                </c:pt>
                <c:pt idx="5">
                  <c:v>0.51724137931034486</c:v>
                </c:pt>
              </c:numCache>
            </c:numRef>
          </c:val>
          <c:extLst>
            <c:ext xmlns:c16="http://schemas.microsoft.com/office/drawing/2014/chart" uri="{C3380CC4-5D6E-409C-BE32-E72D297353CC}">
              <c16:uniqueId val="{00000001-050A-2B41-AA15-ABE7091432F5}"/>
            </c:ext>
          </c:extLst>
        </c:ser>
        <c:dLbls>
          <c:dLblPos val="ctr"/>
          <c:showLegendKey val="0"/>
          <c:showVal val="1"/>
          <c:showCatName val="0"/>
          <c:showSerName val="0"/>
          <c:showPercent val="0"/>
          <c:showBubbleSize val="0"/>
        </c:dLbls>
        <c:gapWidth val="219"/>
        <c:overlap val="100"/>
        <c:axId val="1799807695"/>
        <c:axId val="1786471007"/>
      </c:barChart>
      <c:catAx>
        <c:axId val="179980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6471007"/>
        <c:crosses val="autoZero"/>
        <c:auto val="1"/>
        <c:lblAlgn val="ctr"/>
        <c:lblOffset val="100"/>
        <c:noMultiLvlLbl val="0"/>
      </c:catAx>
      <c:valAx>
        <c:axId val="17864710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807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[Outil_Diagnostic_Egalite_INDEX_21-12-20 3-1.xlsx]ARTICULATION TEMPS!Tableau croisé dynamique5</c:name>
    <c:fmtId val="0"/>
  </c:pivotSource>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Répartition par sexe du</a:t>
            </a:r>
            <a:r>
              <a:rPr lang="fr-FR" sz="1100" b="1" baseline="0"/>
              <a:t> télétravail </a:t>
            </a:r>
            <a:endParaRPr lang="fr-FR"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'ARTICULATION TEMPS'!$O$71:$O$72</c:f>
              <c:strCache>
                <c:ptCount val="1"/>
                <c:pt idx="0">
                  <c:v>0-1</c:v>
                </c:pt>
              </c:strCache>
            </c:strRef>
          </c:tx>
          <c:spPr>
            <a:solidFill>
              <a:schemeClr val="accent1"/>
            </a:solidFill>
            <a:ln>
              <a:noFill/>
            </a:ln>
            <a:effectLst/>
          </c:spPr>
          <c:invertIfNegative val="0"/>
          <c:cat>
            <c:strRef>
              <c:f>'ARTICULATION TEMPS'!$N$73:$N$75</c:f>
              <c:strCache>
                <c:ptCount val="2"/>
                <c:pt idx="0">
                  <c:v>F</c:v>
                </c:pt>
                <c:pt idx="1">
                  <c:v>H</c:v>
                </c:pt>
              </c:strCache>
            </c:strRef>
          </c:cat>
          <c:val>
            <c:numRef>
              <c:f>'ARTICULATION TEMPS'!$O$73:$O$75</c:f>
              <c:numCache>
                <c:formatCode>0%</c:formatCode>
                <c:ptCount val="2"/>
                <c:pt idx="0">
                  <c:v>0.17241379310344829</c:v>
                </c:pt>
                <c:pt idx="1">
                  <c:v>0.82758620689655171</c:v>
                </c:pt>
              </c:numCache>
            </c:numRef>
          </c:val>
          <c:extLst>
            <c:ext xmlns:c16="http://schemas.microsoft.com/office/drawing/2014/chart" uri="{C3380CC4-5D6E-409C-BE32-E72D297353CC}">
              <c16:uniqueId val="{00000000-C833-C642-A879-E08A5E117186}"/>
            </c:ext>
          </c:extLst>
        </c:ser>
        <c:ser>
          <c:idx val="1"/>
          <c:order val="1"/>
          <c:tx>
            <c:strRef>
              <c:f>'ARTICULATION TEMPS'!$P$71:$P$72</c:f>
              <c:strCache>
                <c:ptCount val="1"/>
                <c:pt idx="0">
                  <c:v>0-2</c:v>
                </c:pt>
              </c:strCache>
            </c:strRef>
          </c:tx>
          <c:spPr>
            <a:solidFill>
              <a:schemeClr val="accent2"/>
            </a:solidFill>
            <a:ln>
              <a:noFill/>
            </a:ln>
            <a:effectLst/>
          </c:spPr>
          <c:invertIfNegative val="0"/>
          <c:cat>
            <c:strRef>
              <c:f>'ARTICULATION TEMPS'!$N$73:$N$75</c:f>
              <c:strCache>
                <c:ptCount val="2"/>
                <c:pt idx="0">
                  <c:v>F</c:v>
                </c:pt>
                <c:pt idx="1">
                  <c:v>H</c:v>
                </c:pt>
              </c:strCache>
            </c:strRef>
          </c:cat>
          <c:val>
            <c:numRef>
              <c:f>'ARTICULATION TEMPS'!$P$73:$P$75</c:f>
              <c:numCache>
                <c:formatCode>0%</c:formatCode>
                <c:ptCount val="2"/>
                <c:pt idx="0">
                  <c:v>0.34146341463414637</c:v>
                </c:pt>
                <c:pt idx="1">
                  <c:v>0.65853658536585369</c:v>
                </c:pt>
              </c:numCache>
            </c:numRef>
          </c:val>
          <c:extLst>
            <c:ext xmlns:c16="http://schemas.microsoft.com/office/drawing/2014/chart" uri="{C3380CC4-5D6E-409C-BE32-E72D297353CC}">
              <c16:uniqueId val="{00000003-C833-C642-A879-E08A5E117186}"/>
            </c:ext>
          </c:extLst>
        </c:ser>
        <c:ser>
          <c:idx val="2"/>
          <c:order val="2"/>
          <c:tx>
            <c:strRef>
              <c:f>'ARTICULATION TEMPS'!$Q$71:$Q$72</c:f>
              <c:strCache>
                <c:ptCount val="1"/>
                <c:pt idx="0">
                  <c:v>0-3</c:v>
                </c:pt>
              </c:strCache>
            </c:strRef>
          </c:tx>
          <c:spPr>
            <a:solidFill>
              <a:schemeClr val="accent3"/>
            </a:solidFill>
            <a:ln>
              <a:noFill/>
            </a:ln>
            <a:effectLst/>
          </c:spPr>
          <c:invertIfNegative val="0"/>
          <c:cat>
            <c:strRef>
              <c:f>'ARTICULATION TEMPS'!$N$73:$N$75</c:f>
              <c:strCache>
                <c:ptCount val="2"/>
                <c:pt idx="0">
                  <c:v>F</c:v>
                </c:pt>
                <c:pt idx="1">
                  <c:v>H</c:v>
                </c:pt>
              </c:strCache>
            </c:strRef>
          </c:cat>
          <c:val>
            <c:numRef>
              <c:f>'ARTICULATION TEMPS'!$Q$73:$Q$75</c:f>
              <c:numCache>
                <c:formatCode>0%</c:formatCode>
                <c:ptCount val="2"/>
                <c:pt idx="0">
                  <c:v>0.55263157894736847</c:v>
                </c:pt>
                <c:pt idx="1">
                  <c:v>0.44736842105263158</c:v>
                </c:pt>
              </c:numCache>
            </c:numRef>
          </c:val>
          <c:extLst>
            <c:ext xmlns:c16="http://schemas.microsoft.com/office/drawing/2014/chart" uri="{C3380CC4-5D6E-409C-BE32-E72D297353CC}">
              <c16:uniqueId val="{00000004-C833-C642-A879-E08A5E117186}"/>
            </c:ext>
          </c:extLst>
        </c:ser>
        <c:ser>
          <c:idx val="3"/>
          <c:order val="3"/>
          <c:tx>
            <c:strRef>
              <c:f>'ARTICULATION TEMPS'!$R$71:$R$72</c:f>
              <c:strCache>
                <c:ptCount val="1"/>
                <c:pt idx="0">
                  <c:v>0-4</c:v>
                </c:pt>
              </c:strCache>
            </c:strRef>
          </c:tx>
          <c:spPr>
            <a:solidFill>
              <a:schemeClr val="accent4"/>
            </a:solidFill>
            <a:ln>
              <a:noFill/>
            </a:ln>
            <a:effectLst/>
          </c:spPr>
          <c:invertIfNegative val="0"/>
          <c:cat>
            <c:strRef>
              <c:f>'ARTICULATION TEMPS'!$N$73:$N$75</c:f>
              <c:strCache>
                <c:ptCount val="2"/>
                <c:pt idx="0">
                  <c:v>F</c:v>
                </c:pt>
                <c:pt idx="1">
                  <c:v>H</c:v>
                </c:pt>
              </c:strCache>
            </c:strRef>
          </c:cat>
          <c:val>
            <c:numRef>
              <c:f>'ARTICULATION TEMPS'!$R$73:$R$75</c:f>
              <c:numCache>
                <c:formatCode>0%</c:formatCode>
                <c:ptCount val="2"/>
                <c:pt idx="0">
                  <c:v>0.33027522935779818</c:v>
                </c:pt>
                <c:pt idx="1">
                  <c:v>0.66972477064220182</c:v>
                </c:pt>
              </c:numCache>
            </c:numRef>
          </c:val>
          <c:extLst>
            <c:ext xmlns:c16="http://schemas.microsoft.com/office/drawing/2014/chart" uri="{C3380CC4-5D6E-409C-BE32-E72D297353CC}">
              <c16:uniqueId val="{00000005-C833-C642-A879-E08A5E117186}"/>
            </c:ext>
          </c:extLst>
        </c:ser>
        <c:ser>
          <c:idx val="4"/>
          <c:order val="4"/>
          <c:tx>
            <c:strRef>
              <c:f>'ARTICULATION TEMPS'!$S$71:$S$72</c:f>
              <c:strCache>
                <c:ptCount val="1"/>
                <c:pt idx="0">
                  <c:v>0-5</c:v>
                </c:pt>
              </c:strCache>
            </c:strRef>
          </c:tx>
          <c:spPr>
            <a:solidFill>
              <a:schemeClr val="accent5"/>
            </a:solidFill>
            <a:ln>
              <a:noFill/>
            </a:ln>
            <a:effectLst/>
          </c:spPr>
          <c:invertIfNegative val="0"/>
          <c:cat>
            <c:strRef>
              <c:f>'ARTICULATION TEMPS'!$N$73:$N$75</c:f>
              <c:strCache>
                <c:ptCount val="2"/>
                <c:pt idx="0">
                  <c:v>F</c:v>
                </c:pt>
                <c:pt idx="1">
                  <c:v>H</c:v>
                </c:pt>
              </c:strCache>
            </c:strRef>
          </c:cat>
          <c:val>
            <c:numRef>
              <c:f>'ARTICULATION TEMPS'!$S$73:$S$75</c:f>
              <c:numCache>
                <c:formatCode>0%</c:formatCode>
                <c:ptCount val="2"/>
                <c:pt idx="0">
                  <c:v>0.35555555555555557</c:v>
                </c:pt>
                <c:pt idx="1">
                  <c:v>0.64444444444444449</c:v>
                </c:pt>
              </c:numCache>
            </c:numRef>
          </c:val>
          <c:extLst>
            <c:ext xmlns:c16="http://schemas.microsoft.com/office/drawing/2014/chart" uri="{C3380CC4-5D6E-409C-BE32-E72D297353CC}">
              <c16:uniqueId val="{00000006-C833-C642-A879-E08A5E117186}"/>
            </c:ext>
          </c:extLst>
        </c:ser>
        <c:ser>
          <c:idx val="5"/>
          <c:order val="5"/>
          <c:tx>
            <c:strRef>
              <c:f>'ARTICULATION TEMPS'!$T$71:$T$72</c:f>
              <c:strCache>
                <c:ptCount val="1"/>
                <c:pt idx="0">
                  <c:v>0-8</c:v>
                </c:pt>
              </c:strCache>
            </c:strRef>
          </c:tx>
          <c:spPr>
            <a:solidFill>
              <a:schemeClr val="accent6"/>
            </a:solidFill>
            <a:ln>
              <a:noFill/>
            </a:ln>
            <a:effectLst/>
          </c:spPr>
          <c:invertIfNegative val="0"/>
          <c:cat>
            <c:strRef>
              <c:f>'ARTICULATION TEMPS'!$N$73:$N$75</c:f>
              <c:strCache>
                <c:ptCount val="2"/>
                <c:pt idx="0">
                  <c:v>F</c:v>
                </c:pt>
                <c:pt idx="1">
                  <c:v>H</c:v>
                </c:pt>
              </c:strCache>
            </c:strRef>
          </c:cat>
          <c:val>
            <c:numRef>
              <c:f>'ARTICULATION TEMPS'!$T$73:$T$75</c:f>
              <c:numCache>
                <c:formatCode>0%</c:formatCode>
                <c:ptCount val="2"/>
                <c:pt idx="0">
                  <c:v>0.48275862068965519</c:v>
                </c:pt>
                <c:pt idx="1">
                  <c:v>0.51724137931034486</c:v>
                </c:pt>
              </c:numCache>
            </c:numRef>
          </c:val>
          <c:extLst>
            <c:ext xmlns:c16="http://schemas.microsoft.com/office/drawing/2014/chart" uri="{C3380CC4-5D6E-409C-BE32-E72D297353CC}">
              <c16:uniqueId val="{00000007-C833-C642-A879-E08A5E117186}"/>
            </c:ext>
          </c:extLst>
        </c:ser>
        <c:dLbls>
          <c:showLegendKey val="0"/>
          <c:showVal val="0"/>
          <c:showCatName val="0"/>
          <c:showSerName val="0"/>
          <c:showPercent val="0"/>
          <c:showBubbleSize val="0"/>
        </c:dLbls>
        <c:gapWidth val="219"/>
        <c:overlap val="100"/>
        <c:axId val="111226736"/>
        <c:axId val="1797780143"/>
      </c:barChart>
      <c:catAx>
        <c:axId val="11122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7780143"/>
        <c:crosses val="autoZero"/>
        <c:auto val="1"/>
        <c:lblAlgn val="ctr"/>
        <c:lblOffset val="100"/>
        <c:noMultiLvlLbl val="0"/>
      </c:catAx>
      <c:valAx>
        <c:axId val="1797780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1226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dynamique4</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par sexe dans les métiers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MIXITE!$W$61:$W$62</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MIXITE!$V$63:$V$68</c:f>
              <c:strCache>
                <c:ptCount val="5"/>
                <c:pt idx="0">
                  <c:v>Administratif</c:v>
                </c:pt>
                <c:pt idx="1">
                  <c:v>Fabrication</c:v>
                </c:pt>
                <c:pt idx="2">
                  <c:v>Conditionnement</c:v>
                </c:pt>
                <c:pt idx="3">
                  <c:v>Direction</c:v>
                </c:pt>
                <c:pt idx="4">
                  <c:v>Direction adjoint</c:v>
                </c:pt>
              </c:strCache>
            </c:strRef>
          </c:cat>
          <c:val>
            <c:numRef>
              <c:f>MIXITE!$W$63:$W$68</c:f>
              <c:numCache>
                <c:formatCode>0%</c:formatCode>
                <c:ptCount val="5"/>
                <c:pt idx="0">
                  <c:v>0.6029411764705882</c:v>
                </c:pt>
                <c:pt idx="1">
                  <c:v>0.62878787878787878</c:v>
                </c:pt>
                <c:pt idx="2">
                  <c:v>0.64814814814814814</c:v>
                </c:pt>
                <c:pt idx="3">
                  <c:v>0.33333333333333331</c:v>
                </c:pt>
                <c:pt idx="4">
                  <c:v>0.66666666666666663</c:v>
                </c:pt>
              </c:numCache>
            </c:numRef>
          </c:val>
          <c:extLst>
            <c:ext xmlns:c16="http://schemas.microsoft.com/office/drawing/2014/chart" uri="{C3380CC4-5D6E-409C-BE32-E72D297353CC}">
              <c16:uniqueId val="{00000003-6F46-9648-AD16-9037C71852F9}"/>
            </c:ext>
          </c:extLst>
        </c:ser>
        <c:ser>
          <c:idx val="1"/>
          <c:order val="1"/>
          <c:tx>
            <c:strRef>
              <c:f>MIXITE!$X$61:$X$62</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MIXITE!$V$63:$V$68</c:f>
              <c:strCache>
                <c:ptCount val="5"/>
                <c:pt idx="0">
                  <c:v>Administratif</c:v>
                </c:pt>
                <c:pt idx="1">
                  <c:v>Fabrication</c:v>
                </c:pt>
                <c:pt idx="2">
                  <c:v>Conditionnement</c:v>
                </c:pt>
                <c:pt idx="3">
                  <c:v>Direction</c:v>
                </c:pt>
                <c:pt idx="4">
                  <c:v>Direction adjoint</c:v>
                </c:pt>
              </c:strCache>
            </c:strRef>
          </c:cat>
          <c:val>
            <c:numRef>
              <c:f>MIXITE!$X$63:$X$68</c:f>
              <c:numCache>
                <c:formatCode>0%</c:formatCode>
                <c:ptCount val="5"/>
                <c:pt idx="0">
                  <c:v>0.39705882352941174</c:v>
                </c:pt>
                <c:pt idx="1">
                  <c:v>0.37121212121212122</c:v>
                </c:pt>
                <c:pt idx="2">
                  <c:v>0.35185185185185186</c:v>
                </c:pt>
                <c:pt idx="3">
                  <c:v>0.66666666666666663</c:v>
                </c:pt>
                <c:pt idx="4">
                  <c:v>0.33333333333333331</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dynamique9</c:name>
    <c:fmtId val="6"/>
  </c:pivotSource>
  <c:chart>
    <c:title>
      <c:tx>
        <c:rich>
          <a:bodyPr/>
          <a:lstStyle/>
          <a:p>
            <a:pPr>
              <a:defRPr sz="1100" b="1" i="0" u="none" strike="noStrike" baseline="0">
                <a:solidFill>
                  <a:srgbClr val="000000"/>
                </a:solidFill>
                <a:latin typeface="Calibri"/>
                <a:ea typeface="Calibri"/>
                <a:cs typeface="Calibri"/>
              </a:defRPr>
            </a:pPr>
            <a:r>
              <a:rPr lang="fr-FR"/>
              <a:t>Répartition par sexe dans les emplois </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MIXITE!$W$100:$W$101</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MIXITE!$V$102:$V$115</c:f>
              <c:strCache>
                <c:ptCount val="13"/>
                <c:pt idx="0">
                  <c:v>achat</c:v>
                </c:pt>
                <c:pt idx="1">
                  <c:v>agent de maintenance</c:v>
                </c:pt>
                <c:pt idx="2">
                  <c:v>assistante</c:v>
                </c:pt>
                <c:pt idx="3">
                  <c:v>chef d'équipe</c:v>
                </c:pt>
                <c:pt idx="4">
                  <c:v>commercial</c:v>
                </c:pt>
                <c:pt idx="5">
                  <c:v>comptable</c:v>
                </c:pt>
                <c:pt idx="6">
                  <c:v>directeur</c:v>
                </c:pt>
                <c:pt idx="7">
                  <c:v>gestion rh</c:v>
                </c:pt>
                <c:pt idx="8">
                  <c:v>logistique</c:v>
                </c:pt>
                <c:pt idx="9">
                  <c:v>opérateur</c:v>
                </c:pt>
                <c:pt idx="10">
                  <c:v>secrétaire</c:v>
                </c:pt>
                <c:pt idx="11">
                  <c:v>support informatique</c:v>
                </c:pt>
                <c:pt idx="12">
                  <c:v>technicien</c:v>
                </c:pt>
              </c:strCache>
            </c:strRef>
          </c:cat>
          <c:val>
            <c:numRef>
              <c:f>MIXITE!$W$102:$W$115</c:f>
              <c:numCache>
                <c:formatCode>0%</c:formatCode>
                <c:ptCount val="13"/>
                <c:pt idx="0">
                  <c:v>0.4</c:v>
                </c:pt>
                <c:pt idx="1">
                  <c:v>0.8</c:v>
                </c:pt>
                <c:pt idx="2">
                  <c:v>0.8</c:v>
                </c:pt>
                <c:pt idx="3">
                  <c:v>0.73076923076923073</c:v>
                </c:pt>
                <c:pt idx="4">
                  <c:v>0.6</c:v>
                </c:pt>
                <c:pt idx="5">
                  <c:v>0.83333333333333337</c:v>
                </c:pt>
                <c:pt idx="6">
                  <c:v>0.45454545454545453</c:v>
                </c:pt>
                <c:pt idx="7">
                  <c:v>0.2</c:v>
                </c:pt>
                <c:pt idx="8">
                  <c:v>0.6</c:v>
                </c:pt>
                <c:pt idx="9">
                  <c:v>0.62176165803108807</c:v>
                </c:pt>
                <c:pt idx="10">
                  <c:v>1</c:v>
                </c:pt>
                <c:pt idx="11">
                  <c:v>0.5</c:v>
                </c:pt>
                <c:pt idx="12">
                  <c:v>0.625</c:v>
                </c:pt>
              </c:numCache>
            </c:numRef>
          </c:val>
          <c:extLst>
            <c:ext xmlns:c16="http://schemas.microsoft.com/office/drawing/2014/chart" uri="{C3380CC4-5D6E-409C-BE32-E72D297353CC}">
              <c16:uniqueId val="{00000003-6F46-9648-AD16-9037C71852F9}"/>
            </c:ext>
          </c:extLst>
        </c:ser>
        <c:ser>
          <c:idx val="1"/>
          <c:order val="1"/>
          <c:tx>
            <c:strRef>
              <c:f>MIXITE!$X$100:$X$101</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MIXITE!$V$102:$V$115</c:f>
              <c:strCache>
                <c:ptCount val="13"/>
                <c:pt idx="0">
                  <c:v>achat</c:v>
                </c:pt>
                <c:pt idx="1">
                  <c:v>agent de maintenance</c:v>
                </c:pt>
                <c:pt idx="2">
                  <c:v>assistante</c:v>
                </c:pt>
                <c:pt idx="3">
                  <c:v>chef d'équipe</c:v>
                </c:pt>
                <c:pt idx="4">
                  <c:v>commercial</c:v>
                </c:pt>
                <c:pt idx="5">
                  <c:v>comptable</c:v>
                </c:pt>
                <c:pt idx="6">
                  <c:v>directeur</c:v>
                </c:pt>
                <c:pt idx="7">
                  <c:v>gestion rh</c:v>
                </c:pt>
                <c:pt idx="8">
                  <c:v>logistique</c:v>
                </c:pt>
                <c:pt idx="9">
                  <c:v>opérateur</c:v>
                </c:pt>
                <c:pt idx="10">
                  <c:v>secrétaire</c:v>
                </c:pt>
                <c:pt idx="11">
                  <c:v>support informatique</c:v>
                </c:pt>
                <c:pt idx="12">
                  <c:v>technicien</c:v>
                </c:pt>
              </c:strCache>
            </c:strRef>
          </c:cat>
          <c:val>
            <c:numRef>
              <c:f>MIXITE!$X$102:$X$115</c:f>
              <c:numCache>
                <c:formatCode>0%</c:formatCode>
                <c:ptCount val="13"/>
                <c:pt idx="0">
                  <c:v>0.6</c:v>
                </c:pt>
                <c:pt idx="1">
                  <c:v>0.2</c:v>
                </c:pt>
                <c:pt idx="2">
                  <c:v>0.2</c:v>
                </c:pt>
                <c:pt idx="3">
                  <c:v>0.26923076923076922</c:v>
                </c:pt>
                <c:pt idx="4">
                  <c:v>0.4</c:v>
                </c:pt>
                <c:pt idx="5">
                  <c:v>0.16666666666666666</c:v>
                </c:pt>
                <c:pt idx="6">
                  <c:v>0.54545454545454541</c:v>
                </c:pt>
                <c:pt idx="7">
                  <c:v>0.8</c:v>
                </c:pt>
                <c:pt idx="8">
                  <c:v>0.4</c:v>
                </c:pt>
                <c:pt idx="9">
                  <c:v>0.37823834196891193</c:v>
                </c:pt>
                <c:pt idx="10">
                  <c:v>0</c:v>
                </c:pt>
                <c:pt idx="11">
                  <c:v>0.5</c:v>
                </c:pt>
                <c:pt idx="12">
                  <c:v>0.375</c:v>
                </c:pt>
              </c:numCache>
            </c:numRef>
          </c:val>
          <c:extLst>
            <c:ext xmlns:c16="http://schemas.microsoft.com/office/drawing/2014/chart" uri="{C3380CC4-5D6E-409C-BE32-E72D297353CC}">
              <c16:uniqueId val="{00000004-6F46-9648-AD16-9037C71852F9}"/>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0000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7.5240034155254584E-2"/>
          <c:h val="0.23485504472198987"/>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dynamique14</c:name>
    <c:fmtId val="0"/>
  </c:pivotSource>
  <c:chart>
    <c:title>
      <c:tx>
        <c:rich>
          <a:bodyPr/>
          <a:lstStyle/>
          <a:p>
            <a:pPr>
              <a:defRPr sz="1100" b="1"/>
            </a:pPr>
            <a:r>
              <a:rPr lang="fr-FR"/>
              <a:t>Répartition par catégorie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9D21"/>
          </a:solidFill>
        </c:spPr>
        <c:marker>
          <c:symbol val="none"/>
        </c:marker>
        <c:dLbl>
          <c:idx val="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4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F9D21"/>
          </a:solidFill>
        </c:spPr>
        <c:marker>
          <c:symbol val="none"/>
        </c:marker>
        <c:dLbl>
          <c:idx val="0"/>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delete val="1"/>
          <c:extLst>
            <c:ext xmlns:c15="http://schemas.microsoft.com/office/drawing/2012/chart" uri="{CE6537A1-D6FC-4f65-9D91-7224C49458BB}"/>
          </c:extLst>
        </c:dLbl>
      </c:pivotFmt>
    </c:pivotFmts>
    <c:plotArea>
      <c:layout/>
      <c:barChart>
        <c:barDir val="col"/>
        <c:grouping val="clustered"/>
        <c:varyColors val="0"/>
        <c:ser>
          <c:idx val="0"/>
          <c:order val="0"/>
          <c:tx>
            <c:strRef>
              <c:f>MIXITE!$E$148:$E$149</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MIXITE!$D$150:$D$154</c:f>
              <c:strCache>
                <c:ptCount val="4"/>
                <c:pt idx="0">
                  <c:v>1-OUVRIER</c:v>
                </c:pt>
                <c:pt idx="1">
                  <c:v>2-EMPLOYE</c:v>
                </c:pt>
                <c:pt idx="2">
                  <c:v>3-TAM</c:v>
                </c:pt>
                <c:pt idx="3">
                  <c:v>4-CADRE</c:v>
                </c:pt>
              </c:strCache>
            </c:strRef>
          </c:cat>
          <c:val>
            <c:numRef>
              <c:f>MIXITE!$E$150:$E$154</c:f>
              <c:numCache>
                <c:formatCode>General</c:formatCode>
                <c:ptCount val="4"/>
                <c:pt idx="0">
                  <c:v>116</c:v>
                </c:pt>
                <c:pt idx="1">
                  <c:v>8</c:v>
                </c:pt>
                <c:pt idx="2">
                  <c:v>66</c:v>
                </c:pt>
                <c:pt idx="3">
                  <c:v>10</c:v>
                </c:pt>
              </c:numCache>
            </c:numRef>
          </c:val>
          <c:extLst>
            <c:ext xmlns:c16="http://schemas.microsoft.com/office/drawing/2014/chart" uri="{C3380CC4-5D6E-409C-BE32-E72D297353CC}">
              <c16:uniqueId val="{00000003-8318-044C-B80B-C54BBA85CBF6}"/>
            </c:ext>
          </c:extLst>
        </c:ser>
        <c:ser>
          <c:idx val="1"/>
          <c:order val="1"/>
          <c:tx>
            <c:strRef>
              <c:f>MIXITE!$F$148:$F$149</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MIXITE!$D$150:$D$154</c:f>
              <c:strCache>
                <c:ptCount val="4"/>
                <c:pt idx="0">
                  <c:v>1-OUVRIER</c:v>
                </c:pt>
                <c:pt idx="1">
                  <c:v>2-EMPLOYE</c:v>
                </c:pt>
                <c:pt idx="2">
                  <c:v>3-TAM</c:v>
                </c:pt>
                <c:pt idx="3">
                  <c:v>4-CADRE</c:v>
                </c:pt>
              </c:strCache>
            </c:strRef>
          </c:cat>
          <c:val>
            <c:numRef>
              <c:f>MIXITE!$F$150:$F$154</c:f>
              <c:numCache>
                <c:formatCode>General</c:formatCode>
                <c:ptCount val="4"/>
                <c:pt idx="0">
                  <c:v>57</c:v>
                </c:pt>
                <c:pt idx="1">
                  <c:v>27</c:v>
                </c:pt>
                <c:pt idx="2">
                  <c:v>33</c:v>
                </c:pt>
                <c:pt idx="3">
                  <c:v>3</c:v>
                </c:pt>
              </c:numCache>
            </c:numRef>
          </c:val>
          <c:extLst>
            <c:ext xmlns:c16="http://schemas.microsoft.com/office/drawing/2014/chart" uri="{C3380CC4-5D6E-409C-BE32-E72D297353CC}">
              <c16:uniqueId val="{0000000A-6EF0-9F44-B2D6-F9AD21E41DB0}"/>
            </c:ext>
          </c:extLst>
        </c:ser>
        <c:dLbls>
          <c:showLegendKey val="0"/>
          <c:showVal val="0"/>
          <c:showCatName val="0"/>
          <c:showSerName val="0"/>
          <c:showPercent val="0"/>
          <c:showBubbleSize val="0"/>
        </c:dLbls>
        <c:gapWidth val="150"/>
        <c:axId val="1520868159"/>
        <c:axId val="1"/>
      </c:barChart>
      <c:catAx>
        <c:axId val="1520868159"/>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General" sourceLinked="1"/>
        <c:majorTickMark val="none"/>
        <c:minorTickMark val="none"/>
        <c:tickLblPos val="nextTo"/>
        <c:spPr>
          <a:ln w="3175">
            <a:solidFill>
              <a:srgbClr val="808080"/>
            </a:solidFill>
            <a:prstDash val="solid"/>
          </a:ln>
        </c:spPr>
        <c:txPr>
          <a:bodyPr rot="0" vert="horz"/>
          <a:lstStyle/>
          <a:p>
            <a:pPr>
              <a:defRPr/>
            </a:pPr>
            <a:endParaRPr lang="fr-FR"/>
          </a:p>
        </c:txPr>
        <c:crossAx val="1520868159"/>
        <c:crosses val="autoZero"/>
        <c:crossBetween val="between"/>
      </c:valAx>
      <c:spPr>
        <a:solidFill>
          <a:srgbClr val="FFFFFF"/>
        </a:solidFill>
        <a:ln w="25400">
          <a:noFill/>
        </a:ln>
      </c:spPr>
    </c:plotArea>
    <c:legend>
      <c:legendPos val="r"/>
      <c:overlay val="0"/>
      <c:spPr>
        <a:noFill/>
        <a:ln w="25400">
          <a:noFill/>
        </a:ln>
      </c:spPr>
      <c:txPr>
        <a:bodyPr/>
        <a:lstStyle/>
        <a:p>
          <a:pPr>
            <a:defRPr sz="1100"/>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[Outil_Diagnostic_Egalite_INDEX_21-12-20 3-1.xlsx]MIXITE!Tableau croisé dynamique13</c:name>
    <c:fmtId val="0"/>
  </c:pivotSource>
  <c:chart>
    <c:title>
      <c:tx>
        <c:rich>
          <a:bodyPr/>
          <a:lstStyle/>
          <a:p>
            <a:pPr>
              <a:defRPr sz="1100" b="1" i="0" u="none" strike="noStrike" baseline="0">
                <a:solidFill>
                  <a:srgbClr val="000000"/>
                </a:solidFill>
                <a:latin typeface="Calibri"/>
                <a:ea typeface="Calibri"/>
                <a:cs typeface="Calibri"/>
              </a:defRPr>
            </a:pPr>
            <a:r>
              <a:rPr lang="fr-FR"/>
              <a:t>Répartition en pourcentage par catégorie des F et des H</a:t>
            </a:r>
          </a:p>
        </c:rich>
      </c:tx>
      <c:overlay val="0"/>
      <c:spPr>
        <a:noFill/>
        <a:ln w="25400">
          <a:noFill/>
        </a:ln>
      </c:spPr>
    </c:title>
    <c:autoTitleDeleted val="0"/>
    <c:pivotFmts>
      <c:pivotFmt>
        <c:idx val="0"/>
        <c:marker>
          <c:symbol val="none"/>
        </c:marker>
        <c:dLbl>
          <c:idx val="0"/>
          <c:delete val="1"/>
          <c:extLst>
            <c:ext xmlns:c15="http://schemas.microsoft.com/office/drawing/2012/chart" uri="{CE6537A1-D6FC-4f65-9D91-7224C49458BB}"/>
          </c:extLst>
        </c:dLbl>
      </c:pivotFmt>
      <c:pivotFmt>
        <c:idx val="1"/>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lumMod val="75000"/>
            </a:schemeClr>
          </a:solidFill>
        </c:spPr>
        <c:marker>
          <c:symbol val="none"/>
        </c:marker>
        <c:dLbl>
          <c:idx val="0"/>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9D21"/>
          </a:solidFill>
        </c:spPr>
        <c:marker>
          <c:symbol val="none"/>
        </c:marker>
        <c:dLbl>
          <c:idx val="0"/>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MIXITE!$N$148:$N$149</c:f>
              <c:strCache>
                <c:ptCount val="1"/>
                <c:pt idx="0">
                  <c:v>H</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sz="1050">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MIXITE!$M$150:$M$154</c:f>
              <c:strCache>
                <c:ptCount val="4"/>
                <c:pt idx="0">
                  <c:v>1-OUVRIER</c:v>
                </c:pt>
                <c:pt idx="1">
                  <c:v>2-EMPLOYE</c:v>
                </c:pt>
                <c:pt idx="2">
                  <c:v>3-TAM</c:v>
                </c:pt>
                <c:pt idx="3">
                  <c:v>4-CADRE</c:v>
                </c:pt>
              </c:strCache>
            </c:strRef>
          </c:cat>
          <c:val>
            <c:numRef>
              <c:f>MIXITE!$N$150:$N$154</c:f>
              <c:numCache>
                <c:formatCode>0%</c:formatCode>
                <c:ptCount val="4"/>
                <c:pt idx="0">
                  <c:v>0.67052023121387283</c:v>
                </c:pt>
                <c:pt idx="1">
                  <c:v>0.22857142857142856</c:v>
                </c:pt>
                <c:pt idx="2">
                  <c:v>0.66666666666666663</c:v>
                </c:pt>
                <c:pt idx="3">
                  <c:v>0.76923076923076927</c:v>
                </c:pt>
              </c:numCache>
            </c:numRef>
          </c:val>
          <c:extLst>
            <c:ext xmlns:c16="http://schemas.microsoft.com/office/drawing/2014/chart" uri="{C3380CC4-5D6E-409C-BE32-E72D297353CC}">
              <c16:uniqueId val="{00000003-6F46-9648-AD16-9037C71852F9}"/>
            </c:ext>
          </c:extLst>
        </c:ser>
        <c:ser>
          <c:idx val="1"/>
          <c:order val="1"/>
          <c:tx>
            <c:strRef>
              <c:f>MIXITE!$O$148:$O$149</c:f>
              <c:strCache>
                <c:ptCount val="1"/>
                <c:pt idx="0">
                  <c:v>F</c:v>
                </c:pt>
              </c:strCache>
            </c:strRef>
          </c:tx>
          <c:spPr>
            <a:solidFill>
              <a:srgbClr val="FF9D21"/>
            </a:solidFill>
          </c:spPr>
          <c:invertIfNegative val="0"/>
          <c:dLbls>
            <c:spPr>
              <a:noFill/>
              <a:ln>
                <a:noFill/>
              </a:ln>
              <a:effectLst/>
            </c:spPr>
            <c:txPr>
              <a:bodyPr wrap="square" lIns="38100" tIns="19050" rIns="38100" bIns="19050" anchor="ctr">
                <a:spAutoFit/>
              </a:bodyPr>
              <a:lstStyle/>
              <a:p>
                <a:pPr>
                  <a:defRPr sz="1100">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MIXITE!$M$150:$M$154</c:f>
              <c:strCache>
                <c:ptCount val="4"/>
                <c:pt idx="0">
                  <c:v>1-OUVRIER</c:v>
                </c:pt>
                <c:pt idx="1">
                  <c:v>2-EMPLOYE</c:v>
                </c:pt>
                <c:pt idx="2">
                  <c:v>3-TAM</c:v>
                </c:pt>
                <c:pt idx="3">
                  <c:v>4-CADRE</c:v>
                </c:pt>
              </c:strCache>
            </c:strRef>
          </c:cat>
          <c:val>
            <c:numRef>
              <c:f>MIXITE!$O$150:$O$154</c:f>
              <c:numCache>
                <c:formatCode>0%</c:formatCode>
                <c:ptCount val="4"/>
                <c:pt idx="0">
                  <c:v>0.32947976878612717</c:v>
                </c:pt>
                <c:pt idx="1">
                  <c:v>0.77142857142857146</c:v>
                </c:pt>
                <c:pt idx="2">
                  <c:v>0.33333333333333331</c:v>
                </c:pt>
                <c:pt idx="3">
                  <c:v>0.23076923076923078</c:v>
                </c:pt>
              </c:numCache>
            </c:numRef>
          </c:val>
          <c:extLst>
            <c:ext xmlns:c16="http://schemas.microsoft.com/office/drawing/2014/chart" uri="{C3380CC4-5D6E-409C-BE32-E72D297353CC}">
              <c16:uniqueId val="{00000003-28D8-A74C-9EC6-9696F02B2B21}"/>
            </c:ext>
          </c:extLst>
        </c:ser>
        <c:dLbls>
          <c:showLegendKey val="0"/>
          <c:showVal val="0"/>
          <c:showCatName val="0"/>
          <c:showSerName val="0"/>
          <c:showPercent val="0"/>
          <c:showBubbleSize val="0"/>
        </c:dLbls>
        <c:gapWidth val="55"/>
        <c:overlap val="100"/>
        <c:axId val="1002915007"/>
        <c:axId val="1"/>
      </c:barChart>
      <c:catAx>
        <c:axId val="1002915007"/>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100" b="1" i="0" u="none" strike="noStrike" baseline="0">
                <a:solidFill>
                  <a:srgbClr val="000000"/>
                </a:solidFill>
                <a:latin typeface="Calibri"/>
                <a:ea typeface="Calibri"/>
                <a:cs typeface="Calibri"/>
              </a:defRPr>
            </a:pPr>
            <a:endParaRPr lang="fr-FR"/>
          </a:p>
        </c:txPr>
        <c:crossAx val="1"/>
        <c:crosses val="autoZero"/>
        <c:auto val="0"/>
        <c:lblAlgn val="ctr"/>
        <c:lblOffset val="100"/>
        <c:noMultiLvlLbl val="0"/>
      </c:catAx>
      <c:valAx>
        <c:axId val="1"/>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fr-FR"/>
          </a:p>
        </c:txPr>
        <c:crossAx val="1002915007"/>
        <c:crosses val="autoZero"/>
        <c:crossBetween val="between"/>
      </c:valAx>
      <c:spPr>
        <a:solidFill>
          <a:srgbClr val="FFFFFF"/>
        </a:solidFill>
        <a:ln w="25400">
          <a:noFill/>
        </a:ln>
      </c:spPr>
    </c:plotArea>
    <c:legend>
      <c:legendPos val="r"/>
      <c:layout>
        <c:manualLayout>
          <c:xMode val="edge"/>
          <c:yMode val="edge"/>
          <c:x val="0.90624972404150417"/>
          <c:y val="0.54545524042504401"/>
          <c:w val="5.5771068946222004E-2"/>
          <c:h val="0.18471030160246815"/>
        </c:manualLayout>
      </c:layout>
      <c:overlay val="0"/>
      <c:spPr>
        <a:noFill/>
        <a:ln w="25400">
          <a:noFill/>
        </a:ln>
      </c:spPr>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fr-FR"/>
    </a:p>
  </c:txPr>
  <c:printSettings>
    <c:headerFooter alignWithMargins="0"/>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hyperlink" Target="#PRONOSTIC!A1"/><Relationship Id="rId2" Type="http://schemas.openxmlformats.org/officeDocument/2006/relationships/hyperlink" Target="#DIAGNOSTIC!A1"/><Relationship Id="rId1" Type="http://schemas.openxmlformats.org/officeDocument/2006/relationships/hyperlink" Target="#'Trame accord ou plan d''actions'!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AD47D71-718A-4D45-BFF8-9761BC2B8890}" type="doc">
      <dgm:prSet loTypeId="urn:microsoft.com/office/officeart/2005/8/layout/gear1" loCatId="" qsTypeId="urn:microsoft.com/office/officeart/2005/8/quickstyle/simple1" qsCatId="simple" csTypeId="urn:microsoft.com/office/officeart/2005/8/colors/accent1_2" csCatId="accent1" phldr="1"/>
      <dgm:spPr/>
    </dgm:pt>
    <dgm:pt modelId="{F206DB19-F6EF-A347-89D8-BE27B657FDD2}">
      <dgm:prSet phldrT="[Texte]"/>
      <dgm:spPr>
        <a:solidFill>
          <a:schemeClr val="accent5"/>
        </a:solidFill>
      </dgm:spPr>
      <dgm:t>
        <a:bodyPr/>
        <a:lstStyle/>
        <a:p>
          <a:r>
            <a:rPr lang="fr-FR"/>
            <a:t>PLAN D'ACTION</a:t>
          </a:r>
        </a:p>
      </dgm:t>
      <dgm:extLst>
        <a:ext uri="{E40237B7-FDA0-4F09-8148-C483321AD2D9}">
          <dgm14:cNvPr xmlns:dgm14="http://schemas.microsoft.com/office/drawing/2010/diagram" id="0" name="">
            <a:hlinkClick xmlns:r="http://schemas.openxmlformats.org/officeDocument/2006/relationships" r:id="rId1"/>
          </dgm14:cNvPr>
        </a:ext>
      </dgm:extLst>
    </dgm:pt>
    <dgm:pt modelId="{7284F556-E271-9140-A3D8-8F5CDA975F12}" type="parTrans" cxnId="{81EB650C-A183-AC42-B1EB-AFF0A527E90E}">
      <dgm:prSet/>
      <dgm:spPr/>
      <dgm:t>
        <a:bodyPr/>
        <a:lstStyle/>
        <a:p>
          <a:endParaRPr lang="fr-FR"/>
        </a:p>
      </dgm:t>
    </dgm:pt>
    <dgm:pt modelId="{4D9DC60B-0DE0-AD40-953B-DD666FB30A10}" type="sibTrans" cxnId="{81EB650C-A183-AC42-B1EB-AFF0A527E90E}">
      <dgm:prSet/>
      <dgm:spPr/>
      <dgm:t>
        <a:bodyPr/>
        <a:lstStyle/>
        <a:p>
          <a:endParaRPr lang="fr-FR"/>
        </a:p>
      </dgm:t>
    </dgm:pt>
    <dgm:pt modelId="{1E24E467-2B6D-BC41-9DC0-ABFFD31FF303}">
      <dgm:prSet phldrT="[Texte]"/>
      <dgm:spPr>
        <a:solidFill>
          <a:schemeClr val="accent5"/>
        </a:solidFill>
      </dgm:spPr>
      <dgm:t>
        <a:bodyPr/>
        <a:lstStyle/>
        <a:p>
          <a:r>
            <a:rPr lang="fr-FR"/>
            <a:t>DIAGNOSTIC</a:t>
          </a:r>
        </a:p>
      </dgm:t>
      <dgm:extLst>
        <a:ext uri="{E40237B7-FDA0-4F09-8148-C483321AD2D9}">
          <dgm14:cNvPr xmlns:dgm14="http://schemas.microsoft.com/office/drawing/2010/diagram" id="0" name="">
            <a:hlinkClick xmlns:r="http://schemas.openxmlformats.org/officeDocument/2006/relationships" r:id="rId2"/>
          </dgm14:cNvPr>
        </a:ext>
      </dgm:extLst>
    </dgm:pt>
    <dgm:pt modelId="{395A24E4-4846-5F4B-A2C4-BFEC26BD50D0}" type="parTrans" cxnId="{A8D1C140-ED9B-E048-9C9B-2A464C48C54C}">
      <dgm:prSet/>
      <dgm:spPr/>
      <dgm:t>
        <a:bodyPr/>
        <a:lstStyle/>
        <a:p>
          <a:endParaRPr lang="fr-FR"/>
        </a:p>
      </dgm:t>
    </dgm:pt>
    <dgm:pt modelId="{3D7648DD-86F1-2247-936C-6A78CA07BF84}" type="sibTrans" cxnId="{A8D1C140-ED9B-E048-9C9B-2A464C48C54C}">
      <dgm:prSet/>
      <dgm:spPr/>
      <dgm:t>
        <a:bodyPr/>
        <a:lstStyle/>
        <a:p>
          <a:endParaRPr lang="fr-FR"/>
        </a:p>
      </dgm:t>
    </dgm:pt>
    <dgm:pt modelId="{E71E20D0-2B77-2F47-9863-F8EF665009F2}">
      <dgm:prSet phldrT="[Texte]"/>
      <dgm:spPr>
        <a:solidFill>
          <a:schemeClr val="accent5"/>
        </a:solidFill>
      </dgm:spPr>
      <dgm:t>
        <a:bodyPr/>
        <a:lstStyle/>
        <a:p>
          <a:r>
            <a:rPr lang="fr-FR"/>
            <a:t>PRONOSTIC</a:t>
          </a:r>
        </a:p>
      </dgm:t>
      <dgm:extLst>
        <a:ext uri="{E40237B7-FDA0-4F09-8148-C483321AD2D9}">
          <dgm14:cNvPr xmlns:dgm14="http://schemas.microsoft.com/office/drawing/2010/diagram" id="0" name="">
            <a:hlinkClick xmlns:r="http://schemas.openxmlformats.org/officeDocument/2006/relationships" r:id="rId3"/>
          </dgm14:cNvPr>
        </a:ext>
      </dgm:extLst>
    </dgm:pt>
    <dgm:pt modelId="{0A0E163F-0CC7-054B-8CA0-A240F7802F5D}" type="parTrans" cxnId="{1B67B9E9-FC68-9744-B36F-FF0FEB8D1A6D}">
      <dgm:prSet/>
      <dgm:spPr/>
      <dgm:t>
        <a:bodyPr/>
        <a:lstStyle/>
        <a:p>
          <a:endParaRPr lang="fr-FR"/>
        </a:p>
      </dgm:t>
    </dgm:pt>
    <dgm:pt modelId="{56A30D3D-012B-474D-8BF0-24A2B7F2CA53}" type="sibTrans" cxnId="{1B67B9E9-FC68-9744-B36F-FF0FEB8D1A6D}">
      <dgm:prSet/>
      <dgm:spPr>
        <a:solidFill>
          <a:schemeClr val="bg1"/>
        </a:solidFill>
      </dgm:spPr>
      <dgm:t>
        <a:bodyPr/>
        <a:lstStyle/>
        <a:p>
          <a:endParaRPr lang="fr-FR"/>
        </a:p>
      </dgm:t>
    </dgm:pt>
    <dgm:pt modelId="{12835655-3FED-2548-A0C2-518EF12BE11D}" type="pres">
      <dgm:prSet presAssocID="{1AD47D71-718A-4D45-BFF8-9761BC2B8890}" presName="composite" presStyleCnt="0">
        <dgm:presLayoutVars>
          <dgm:chMax val="3"/>
          <dgm:animLvl val="lvl"/>
          <dgm:resizeHandles val="exact"/>
        </dgm:presLayoutVars>
      </dgm:prSet>
      <dgm:spPr/>
    </dgm:pt>
    <dgm:pt modelId="{1E88D34B-D7C6-3747-94CC-5E76E25C6C7C}" type="pres">
      <dgm:prSet presAssocID="{F206DB19-F6EF-A347-89D8-BE27B657FDD2}" presName="gear1" presStyleLbl="node1" presStyleIdx="0" presStyleCnt="3">
        <dgm:presLayoutVars>
          <dgm:chMax val="1"/>
          <dgm:bulletEnabled val="1"/>
        </dgm:presLayoutVars>
      </dgm:prSet>
      <dgm:spPr/>
    </dgm:pt>
    <dgm:pt modelId="{E277B5C7-D108-F941-AC6D-768BD79EF607}" type="pres">
      <dgm:prSet presAssocID="{F206DB19-F6EF-A347-89D8-BE27B657FDD2}" presName="gear1srcNode" presStyleLbl="node1" presStyleIdx="0" presStyleCnt="3"/>
      <dgm:spPr/>
    </dgm:pt>
    <dgm:pt modelId="{3828B0A3-C2CF-0843-B0F7-E6997D3C8860}" type="pres">
      <dgm:prSet presAssocID="{F206DB19-F6EF-A347-89D8-BE27B657FDD2}" presName="gear1dstNode" presStyleLbl="node1" presStyleIdx="0" presStyleCnt="3"/>
      <dgm:spPr/>
    </dgm:pt>
    <dgm:pt modelId="{04279911-217C-5D4A-BAD1-BCC5E7B51233}" type="pres">
      <dgm:prSet presAssocID="{1E24E467-2B6D-BC41-9DC0-ABFFD31FF303}" presName="gear2" presStyleLbl="node1" presStyleIdx="1" presStyleCnt="3">
        <dgm:presLayoutVars>
          <dgm:chMax val="1"/>
          <dgm:bulletEnabled val="1"/>
        </dgm:presLayoutVars>
      </dgm:prSet>
      <dgm:spPr/>
    </dgm:pt>
    <dgm:pt modelId="{4BD31059-68D5-3B4A-B5E5-6CA7480EA2FB}" type="pres">
      <dgm:prSet presAssocID="{1E24E467-2B6D-BC41-9DC0-ABFFD31FF303}" presName="gear2srcNode" presStyleLbl="node1" presStyleIdx="1" presStyleCnt="3"/>
      <dgm:spPr/>
    </dgm:pt>
    <dgm:pt modelId="{F452D0C5-B02E-8146-A2AF-19F1821011B7}" type="pres">
      <dgm:prSet presAssocID="{1E24E467-2B6D-BC41-9DC0-ABFFD31FF303}" presName="gear2dstNode" presStyleLbl="node1" presStyleIdx="1" presStyleCnt="3"/>
      <dgm:spPr/>
    </dgm:pt>
    <dgm:pt modelId="{E95C3632-ABB5-C245-AE68-7DE999F28576}" type="pres">
      <dgm:prSet presAssocID="{E71E20D0-2B77-2F47-9863-F8EF665009F2}" presName="gear3" presStyleLbl="node1" presStyleIdx="2" presStyleCnt="3"/>
      <dgm:spPr/>
    </dgm:pt>
    <dgm:pt modelId="{F6665838-79FF-9346-8DDF-206FF0D15419}" type="pres">
      <dgm:prSet presAssocID="{E71E20D0-2B77-2F47-9863-F8EF665009F2}" presName="gear3tx" presStyleLbl="node1" presStyleIdx="2" presStyleCnt="3">
        <dgm:presLayoutVars>
          <dgm:chMax val="1"/>
          <dgm:bulletEnabled val="1"/>
        </dgm:presLayoutVars>
      </dgm:prSet>
      <dgm:spPr/>
    </dgm:pt>
    <dgm:pt modelId="{B1DD5655-427B-594E-9AAF-9610C078A7B7}" type="pres">
      <dgm:prSet presAssocID="{E71E20D0-2B77-2F47-9863-F8EF665009F2}" presName="gear3srcNode" presStyleLbl="node1" presStyleIdx="2" presStyleCnt="3"/>
      <dgm:spPr/>
    </dgm:pt>
    <dgm:pt modelId="{3CF19AD5-F6E9-CF43-BE99-858916BD20CF}" type="pres">
      <dgm:prSet presAssocID="{E71E20D0-2B77-2F47-9863-F8EF665009F2}" presName="gear3dstNode" presStyleLbl="node1" presStyleIdx="2" presStyleCnt="3"/>
      <dgm:spPr/>
    </dgm:pt>
    <dgm:pt modelId="{2CCF603C-0C07-C346-9A3D-DD2B9C0C85BF}" type="pres">
      <dgm:prSet presAssocID="{4D9DC60B-0DE0-AD40-953B-DD666FB30A10}" presName="connector1" presStyleLbl="sibTrans2D1" presStyleIdx="0" presStyleCnt="3" custAng="20486063" custFlipHor="1" custScaleX="3447" custScaleY="12417" custLinFactX="39391" custLinFactNeighborX="100000" custLinFactNeighborY="-55092"/>
      <dgm:spPr/>
    </dgm:pt>
    <dgm:pt modelId="{E4A201BF-E8BB-E942-AF66-6726A41B7FF5}" type="pres">
      <dgm:prSet presAssocID="{3D7648DD-86F1-2247-936C-6A78CA07BF84}" presName="connector2" presStyleLbl="sibTrans2D1" presStyleIdx="1" presStyleCnt="3" custAng="327127" custFlipVert="1" custFlipHor="1" custScaleX="23982" custScaleY="3677" custLinFactX="123859" custLinFactNeighborX="200000" custLinFactNeighborY="-30605"/>
      <dgm:spPr/>
    </dgm:pt>
    <dgm:pt modelId="{27EADC16-3597-5645-897D-DD50949A910A}" type="pres">
      <dgm:prSet presAssocID="{56A30D3D-012B-474D-8BF0-24A2B7F2CA53}" presName="connector3" presStyleLbl="sibTrans2D1" presStyleIdx="2" presStyleCnt="3" custAng="10430700" custScaleX="11775" custScaleY="53409" custLinFactX="91491" custLinFactNeighborX="100000" custLinFactNeighborY="57193"/>
      <dgm:spPr/>
    </dgm:pt>
  </dgm:ptLst>
  <dgm:cxnLst>
    <dgm:cxn modelId="{81EB650C-A183-AC42-B1EB-AFF0A527E90E}" srcId="{1AD47D71-718A-4D45-BFF8-9761BC2B8890}" destId="{F206DB19-F6EF-A347-89D8-BE27B657FDD2}" srcOrd="0" destOrd="0" parTransId="{7284F556-E271-9140-A3D8-8F5CDA975F12}" sibTransId="{4D9DC60B-0DE0-AD40-953B-DD666FB30A10}"/>
    <dgm:cxn modelId="{6370032E-7BAC-9044-8837-F84B18753875}" type="presOf" srcId="{1AD47D71-718A-4D45-BFF8-9761BC2B8890}" destId="{12835655-3FED-2548-A0C2-518EF12BE11D}" srcOrd="0" destOrd="0" presId="urn:microsoft.com/office/officeart/2005/8/layout/gear1"/>
    <dgm:cxn modelId="{43E6E939-B6BD-1143-A93E-D52053024D86}" type="presOf" srcId="{E71E20D0-2B77-2F47-9863-F8EF665009F2}" destId="{E95C3632-ABB5-C245-AE68-7DE999F28576}" srcOrd="0" destOrd="0" presId="urn:microsoft.com/office/officeart/2005/8/layout/gear1"/>
    <dgm:cxn modelId="{A8D1C140-ED9B-E048-9C9B-2A464C48C54C}" srcId="{1AD47D71-718A-4D45-BFF8-9761BC2B8890}" destId="{1E24E467-2B6D-BC41-9DC0-ABFFD31FF303}" srcOrd="1" destOrd="0" parTransId="{395A24E4-4846-5F4B-A2C4-BFEC26BD50D0}" sibTransId="{3D7648DD-86F1-2247-936C-6A78CA07BF84}"/>
    <dgm:cxn modelId="{F5F24375-8EBF-A34D-9C6B-BDE8D94D1FBD}" type="presOf" srcId="{3D7648DD-86F1-2247-936C-6A78CA07BF84}" destId="{E4A201BF-E8BB-E942-AF66-6726A41B7FF5}" srcOrd="0" destOrd="0" presId="urn:microsoft.com/office/officeart/2005/8/layout/gear1"/>
    <dgm:cxn modelId="{FDC62281-666B-DF4E-95E5-680B82FB2E80}" type="presOf" srcId="{F206DB19-F6EF-A347-89D8-BE27B657FDD2}" destId="{1E88D34B-D7C6-3747-94CC-5E76E25C6C7C}" srcOrd="0" destOrd="0" presId="urn:microsoft.com/office/officeart/2005/8/layout/gear1"/>
    <dgm:cxn modelId="{EC78FB93-BBB2-6F49-986D-AF0D37EE8F2E}" type="presOf" srcId="{E71E20D0-2B77-2F47-9863-F8EF665009F2}" destId="{F6665838-79FF-9346-8DDF-206FF0D15419}" srcOrd="1" destOrd="0" presId="urn:microsoft.com/office/officeart/2005/8/layout/gear1"/>
    <dgm:cxn modelId="{D31A82A8-2D49-A345-9222-8AFC5D32DBD7}" type="presOf" srcId="{E71E20D0-2B77-2F47-9863-F8EF665009F2}" destId="{B1DD5655-427B-594E-9AAF-9610C078A7B7}" srcOrd="2" destOrd="0" presId="urn:microsoft.com/office/officeart/2005/8/layout/gear1"/>
    <dgm:cxn modelId="{68AC7AB3-DBFE-A746-A4F2-5634AE36DC04}" type="presOf" srcId="{1E24E467-2B6D-BC41-9DC0-ABFFD31FF303}" destId="{F452D0C5-B02E-8146-A2AF-19F1821011B7}" srcOrd="2" destOrd="0" presId="urn:microsoft.com/office/officeart/2005/8/layout/gear1"/>
    <dgm:cxn modelId="{C17BA3B3-6513-EB46-A945-1DE84A95A42D}" type="presOf" srcId="{1E24E467-2B6D-BC41-9DC0-ABFFD31FF303}" destId="{4BD31059-68D5-3B4A-B5E5-6CA7480EA2FB}" srcOrd="1" destOrd="0" presId="urn:microsoft.com/office/officeart/2005/8/layout/gear1"/>
    <dgm:cxn modelId="{F29EA5BC-8390-1546-889C-35FC6349DA7A}" type="presOf" srcId="{1E24E467-2B6D-BC41-9DC0-ABFFD31FF303}" destId="{04279911-217C-5D4A-BAD1-BCC5E7B51233}" srcOrd="0" destOrd="0" presId="urn:microsoft.com/office/officeart/2005/8/layout/gear1"/>
    <dgm:cxn modelId="{206DE7C1-5793-074A-B95E-3F7D22503CA1}" type="presOf" srcId="{4D9DC60B-0DE0-AD40-953B-DD666FB30A10}" destId="{2CCF603C-0C07-C346-9A3D-DD2B9C0C85BF}" srcOrd="0" destOrd="0" presId="urn:microsoft.com/office/officeart/2005/8/layout/gear1"/>
    <dgm:cxn modelId="{7CA8BCE1-5B8D-4341-819D-6DAA7F4D831E}" type="presOf" srcId="{56A30D3D-012B-474D-8BF0-24A2B7F2CA53}" destId="{27EADC16-3597-5645-897D-DD50949A910A}" srcOrd="0" destOrd="0" presId="urn:microsoft.com/office/officeart/2005/8/layout/gear1"/>
    <dgm:cxn modelId="{1B67B9E9-FC68-9744-B36F-FF0FEB8D1A6D}" srcId="{1AD47D71-718A-4D45-BFF8-9761BC2B8890}" destId="{E71E20D0-2B77-2F47-9863-F8EF665009F2}" srcOrd="2" destOrd="0" parTransId="{0A0E163F-0CC7-054B-8CA0-A240F7802F5D}" sibTransId="{56A30D3D-012B-474D-8BF0-24A2B7F2CA53}"/>
    <dgm:cxn modelId="{6D7A00ED-EAC7-B246-AC64-649C4829267C}" type="presOf" srcId="{E71E20D0-2B77-2F47-9863-F8EF665009F2}" destId="{3CF19AD5-F6E9-CF43-BE99-858916BD20CF}" srcOrd="3" destOrd="0" presId="urn:microsoft.com/office/officeart/2005/8/layout/gear1"/>
    <dgm:cxn modelId="{0B5CC4FA-63DF-FB42-86B9-1E25239923D1}" type="presOf" srcId="{F206DB19-F6EF-A347-89D8-BE27B657FDD2}" destId="{E277B5C7-D108-F941-AC6D-768BD79EF607}" srcOrd="1" destOrd="0" presId="urn:microsoft.com/office/officeart/2005/8/layout/gear1"/>
    <dgm:cxn modelId="{7C38D1FC-404E-8340-93A8-9B68144851F0}" type="presOf" srcId="{F206DB19-F6EF-A347-89D8-BE27B657FDD2}" destId="{3828B0A3-C2CF-0843-B0F7-E6997D3C8860}" srcOrd="2" destOrd="0" presId="urn:microsoft.com/office/officeart/2005/8/layout/gear1"/>
    <dgm:cxn modelId="{61B279DA-E41D-3840-82F9-993713A4475C}" type="presParOf" srcId="{12835655-3FED-2548-A0C2-518EF12BE11D}" destId="{1E88D34B-D7C6-3747-94CC-5E76E25C6C7C}" srcOrd="0" destOrd="0" presId="urn:microsoft.com/office/officeart/2005/8/layout/gear1"/>
    <dgm:cxn modelId="{1B1DE97A-8786-134A-A7F8-9DDB42A5DB5F}" type="presParOf" srcId="{12835655-3FED-2548-A0C2-518EF12BE11D}" destId="{E277B5C7-D108-F941-AC6D-768BD79EF607}" srcOrd="1" destOrd="0" presId="urn:microsoft.com/office/officeart/2005/8/layout/gear1"/>
    <dgm:cxn modelId="{911CCD70-0D36-C24B-B85A-2C81984AF8E6}" type="presParOf" srcId="{12835655-3FED-2548-A0C2-518EF12BE11D}" destId="{3828B0A3-C2CF-0843-B0F7-E6997D3C8860}" srcOrd="2" destOrd="0" presId="urn:microsoft.com/office/officeart/2005/8/layout/gear1"/>
    <dgm:cxn modelId="{46911BEE-B45A-9948-ACB4-ECBD5D3D3CC0}" type="presParOf" srcId="{12835655-3FED-2548-A0C2-518EF12BE11D}" destId="{04279911-217C-5D4A-BAD1-BCC5E7B51233}" srcOrd="3" destOrd="0" presId="urn:microsoft.com/office/officeart/2005/8/layout/gear1"/>
    <dgm:cxn modelId="{09F53011-A983-5C4C-8A85-7D2188CF824D}" type="presParOf" srcId="{12835655-3FED-2548-A0C2-518EF12BE11D}" destId="{4BD31059-68D5-3B4A-B5E5-6CA7480EA2FB}" srcOrd="4" destOrd="0" presId="urn:microsoft.com/office/officeart/2005/8/layout/gear1"/>
    <dgm:cxn modelId="{896C8FCF-A598-F645-8FFF-D157A623541B}" type="presParOf" srcId="{12835655-3FED-2548-A0C2-518EF12BE11D}" destId="{F452D0C5-B02E-8146-A2AF-19F1821011B7}" srcOrd="5" destOrd="0" presId="urn:microsoft.com/office/officeart/2005/8/layout/gear1"/>
    <dgm:cxn modelId="{3986B144-C49A-C54D-B076-4595095F53F4}" type="presParOf" srcId="{12835655-3FED-2548-A0C2-518EF12BE11D}" destId="{E95C3632-ABB5-C245-AE68-7DE999F28576}" srcOrd="6" destOrd="0" presId="urn:microsoft.com/office/officeart/2005/8/layout/gear1"/>
    <dgm:cxn modelId="{2B6DA949-3414-424C-834D-8862D4BF70BE}" type="presParOf" srcId="{12835655-3FED-2548-A0C2-518EF12BE11D}" destId="{F6665838-79FF-9346-8DDF-206FF0D15419}" srcOrd="7" destOrd="0" presId="urn:microsoft.com/office/officeart/2005/8/layout/gear1"/>
    <dgm:cxn modelId="{EC255136-915F-5B4C-9964-F2930A8A24F1}" type="presParOf" srcId="{12835655-3FED-2548-A0C2-518EF12BE11D}" destId="{B1DD5655-427B-594E-9AAF-9610C078A7B7}" srcOrd="8" destOrd="0" presId="urn:microsoft.com/office/officeart/2005/8/layout/gear1"/>
    <dgm:cxn modelId="{309B9FF3-2EBB-CB41-ABB4-228E6052ED69}" type="presParOf" srcId="{12835655-3FED-2548-A0C2-518EF12BE11D}" destId="{3CF19AD5-F6E9-CF43-BE99-858916BD20CF}" srcOrd="9" destOrd="0" presId="urn:microsoft.com/office/officeart/2005/8/layout/gear1"/>
    <dgm:cxn modelId="{7257556B-794A-6447-B3F3-CB227500D7B2}" type="presParOf" srcId="{12835655-3FED-2548-A0C2-518EF12BE11D}" destId="{2CCF603C-0C07-C346-9A3D-DD2B9C0C85BF}" srcOrd="10" destOrd="0" presId="urn:microsoft.com/office/officeart/2005/8/layout/gear1"/>
    <dgm:cxn modelId="{28EF596C-06D5-BE48-9273-09D794DBDBE1}" type="presParOf" srcId="{12835655-3FED-2548-A0C2-518EF12BE11D}" destId="{E4A201BF-E8BB-E942-AF66-6726A41B7FF5}" srcOrd="11" destOrd="0" presId="urn:microsoft.com/office/officeart/2005/8/layout/gear1"/>
    <dgm:cxn modelId="{EAE7F329-F953-FE40-8399-B75988260904}" type="presParOf" srcId="{12835655-3FED-2548-A0C2-518EF12BE11D}" destId="{27EADC16-3597-5645-897D-DD50949A910A}" srcOrd="12" destOrd="0" presId="urn:microsoft.com/office/officeart/2005/8/layout/gear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E88D34B-D7C6-3747-94CC-5E76E25C6C7C}">
      <dsp:nvSpPr>
        <dsp:cNvPr id="0" name=""/>
        <dsp:cNvSpPr/>
      </dsp:nvSpPr>
      <dsp:spPr>
        <a:xfrm>
          <a:off x="5511027" y="3411854"/>
          <a:ext cx="4170045" cy="4170045"/>
        </a:xfrm>
        <a:prstGeom prst="gear9">
          <a:avLst/>
        </a:prstGeom>
        <a:solidFill>
          <a:schemeClr val="accent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fr-FR" sz="2200" kern="1200"/>
            <a:t>PLAN D'ACTION</a:t>
          </a:r>
        </a:p>
      </dsp:txBody>
      <dsp:txXfrm>
        <a:off x="6349392" y="4388667"/>
        <a:ext cx="2493315" cy="2143489"/>
      </dsp:txXfrm>
    </dsp:sp>
    <dsp:sp modelId="{04279911-217C-5D4A-BAD1-BCC5E7B51233}">
      <dsp:nvSpPr>
        <dsp:cNvPr id="0" name=""/>
        <dsp:cNvSpPr/>
      </dsp:nvSpPr>
      <dsp:spPr>
        <a:xfrm>
          <a:off x="3084819" y="2426208"/>
          <a:ext cx="3032760" cy="3032760"/>
        </a:xfrm>
        <a:prstGeom prst="gear6">
          <a:avLst/>
        </a:prstGeom>
        <a:solidFill>
          <a:schemeClr val="accent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fr-FR" sz="2200" kern="1200"/>
            <a:t>DIAGNOSTIC</a:t>
          </a:r>
        </a:p>
      </dsp:txBody>
      <dsp:txXfrm>
        <a:off x="3848325" y="3194329"/>
        <a:ext cx="1505748" cy="1496518"/>
      </dsp:txXfrm>
    </dsp:sp>
    <dsp:sp modelId="{E95C3632-ABB5-C245-AE68-7DE999F28576}">
      <dsp:nvSpPr>
        <dsp:cNvPr id="0" name=""/>
        <dsp:cNvSpPr/>
      </dsp:nvSpPr>
      <dsp:spPr>
        <a:xfrm rot="20700000">
          <a:off x="4783474" y="333913"/>
          <a:ext cx="2971485" cy="2971485"/>
        </a:xfrm>
        <a:prstGeom prst="gear6">
          <a:avLst/>
        </a:prstGeom>
        <a:solidFill>
          <a:schemeClr val="accent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fr-FR" sz="2200" kern="1200"/>
            <a:t>PRONOSTIC</a:t>
          </a:r>
        </a:p>
      </dsp:txBody>
      <dsp:txXfrm rot="-20700000">
        <a:off x="5435208" y="985646"/>
        <a:ext cx="1668018" cy="1668018"/>
      </dsp:txXfrm>
    </dsp:sp>
    <dsp:sp modelId="{2CCF603C-0C07-C346-9A3D-DD2B9C0C85BF}">
      <dsp:nvSpPr>
        <dsp:cNvPr id="0" name=""/>
        <dsp:cNvSpPr/>
      </dsp:nvSpPr>
      <dsp:spPr>
        <a:xfrm rot="1113937" flipH="1">
          <a:off x="11688250" y="2157216"/>
          <a:ext cx="183989" cy="662776"/>
        </a:xfrm>
        <a:prstGeom prst="circularArrow">
          <a:avLst>
            <a:gd name="adj1" fmla="val 4687"/>
            <a:gd name="adj2" fmla="val 299029"/>
            <a:gd name="adj3" fmla="val 2563201"/>
            <a:gd name="adj4" fmla="val 15763435"/>
            <a:gd name="adj5" fmla="val 5469"/>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E4A201BF-E8BB-E942-AF66-6726A41B7FF5}">
      <dsp:nvSpPr>
        <dsp:cNvPr id="0" name=""/>
        <dsp:cNvSpPr/>
      </dsp:nvSpPr>
      <dsp:spPr>
        <a:xfrm rot="327127" flipH="1" flipV="1">
          <a:off x="11315217" y="2421500"/>
          <a:ext cx="930055" cy="142599"/>
        </a:xfrm>
        <a:prstGeom prst="circularArrow">
          <a:avLst>
            <a:gd name="adj1" fmla="val 6452"/>
            <a:gd name="adj2" fmla="val 429999"/>
            <a:gd name="adj3" fmla="val 10489124"/>
            <a:gd name="adj4" fmla="val 14837806"/>
            <a:gd name="adj5" fmla="val 7527"/>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27EADC16-3597-5645-897D-DD50949A910A}">
      <dsp:nvSpPr>
        <dsp:cNvPr id="0" name=""/>
        <dsp:cNvSpPr/>
      </dsp:nvSpPr>
      <dsp:spPr>
        <a:xfrm rot="10430700">
          <a:off x="11534064" y="3034068"/>
          <a:ext cx="492361" cy="2233253"/>
        </a:xfrm>
        <a:prstGeom prst="leftCircularArrow">
          <a:avLst>
            <a:gd name="adj1" fmla="val 5984"/>
            <a:gd name="adj2" fmla="val 394124"/>
            <a:gd name="adj3" fmla="val 13313824"/>
            <a:gd name="adj4" fmla="val 10508221"/>
            <a:gd name="adj5" fmla="val 6981"/>
          </a:avLst>
        </a:prstGeom>
        <a:solidFill>
          <a:schemeClr val="bg1"/>
        </a:solidFill>
        <a:ln>
          <a:noFill/>
        </a:ln>
        <a:effectLst/>
      </dsp:spPr>
      <dsp:style>
        <a:lnRef idx="0">
          <a:scrgbClr r="0" g="0" b="0"/>
        </a:lnRef>
        <a:fillRef idx="1">
          <a:scrgbClr r="0" g="0" b="0"/>
        </a:fillRef>
        <a:effectRef idx="0">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gear1">
  <dgm:title val=""/>
  <dgm:desc val=""/>
  <dgm:catLst>
    <dgm:cat type="relationship" pri="3000"/>
    <dgm:cat type="process" pri="28000"/>
    <dgm:cat type="cycle" pri="14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composite">
    <dgm:varLst>
      <dgm:chMax val="3"/>
      <dgm:animLvl val="lvl"/>
      <dgm:resizeHandles val="exact"/>
    </dgm:varLst>
    <dgm:alg type="composite">
      <dgm:param type="ar" val="1"/>
    </dgm:alg>
    <dgm:shape xmlns:r="http://schemas.openxmlformats.org/officeDocument/2006/relationships" r:blip="">
      <dgm:adjLst/>
    </dgm:shape>
    <dgm:presOf/>
    <dgm:choose name="Name0">
      <dgm:if name="Name1" axis="ch" ptType="node" func="cnt" op="lte" val="1">
        <dgm:constrLst>
          <dgm:constr type="primFontSz" for="ch" ptType="node" op="equ" val="65"/>
          <dgm:constr type="w" for="ch" forName="gear1" refType="w" fact="0.55"/>
          <dgm:constr type="h" for="ch" forName="gear1" refType="w" fact="0.55"/>
          <dgm:constr type="l" for="ch" forName="gear1" refType="w" fact="0.05"/>
          <dgm:constr type="t" for="ch" forName="gear1" refType="w" fact="0.05"/>
          <dgm:constr type="w" for="ch" forName="gear1srcNode" val="1"/>
          <dgm:constr type="h" for="ch" forName="gear1srcNode" val="1"/>
          <dgm:constr type="l" for="ch" forName="gear1srcNode" refType="w" fact="0.32"/>
          <dgm:constr type="t" for="ch" forName="gear1srcNode"/>
          <dgm:constr type="w" for="ch" forName="gear1dstNode" val="1"/>
          <dgm:constr type="h" for="ch" forName="gear1dstNode" val="1"/>
          <dgm:constr type="r" for="ch" forName="gear1dstNode" refType="w" fact="0.58"/>
          <dgm:constr type="t" for="ch" forName="gear1dstNode" refType="h" fact="0.5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dgm:constr type="b" for="ch" forName="gear1ch" refType="h" fact="0.6"/>
        </dgm:constrLst>
      </dgm:if>
      <dgm:if name="Name2" axis="ch" ptType="node" func="cnt" op="equ" val="2">
        <dgm:constrLst>
          <dgm:constr type="primFontSz" for="ch" ptType="node" op="equ" val="65"/>
          <dgm:constr type="w" for="ch" forName="gear1" refType="w" fact="0.55"/>
          <dgm:constr type="h" for="ch" forName="gear1" refType="w" fact="0.55"/>
          <dgm:constr type="l" for="ch" forName="gear1" refType="w" fact="0.45"/>
          <dgm:constr type="t" for="ch" forName="gear1" refType="w" fact="0.25"/>
          <dgm:constr type="w" for="ch" forName="gear1srcNode" val="1"/>
          <dgm:constr type="h" for="ch" forName="gear1srcNode" val="1"/>
          <dgm:constr type="l" for="ch" forName="gear1srcNode" refType="w" fact="0.72"/>
          <dgm:constr type="t" for="ch" forName="gear1srcNode" refType="w" fact="0.2"/>
          <dgm:constr type="w" for="ch" forName="gear1dstNode" val="1"/>
          <dgm:constr type="h" for="ch" forName="gear1dstNode" val="1"/>
          <dgm:constr type="r" for="ch" forName="gear1dstNode" refType="w" fact="0.98"/>
          <dgm:constr type="t" for="ch" forName="gear1dstNode" refType="h" fact="0.75"/>
          <dgm:constr type="diam" for="des" forName="connector1" refType="w" refFor="ch" refForName="gear1" op="equ" fact="1.1"/>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w" fact="0.8"/>
          <dgm:constr type="w" for="ch" forName="gear2" refType="w" fact="0.4"/>
          <dgm:constr type="h" for="ch" forName="gear2" refType="w" fact="0.4"/>
          <dgm:constr type="l" for="ch" forName="gear2" refType="w" fact="0.13"/>
          <dgm:constr type="t" for="ch" forName="gear2" refType="w" fact="0.12"/>
          <dgm:constr type="w" for="ch" forName="gear2srcNode" val="1"/>
          <dgm:constr type="h" for="ch" forName="gear2srcNode" val="1"/>
          <dgm:constr type="l" for="ch" forName="gear2srcNode" refType="w" fact="0.23"/>
          <dgm:constr type="t" for="ch" forName="gear2srcNode" refType="w" fact="0.08"/>
          <dgm:constr type="w" for="ch" forName="gear2dstNode" val="1"/>
          <dgm:constr type="h" for="ch" forName="gear2dstNode" val="1"/>
          <dgm:constr type="l" for="ch" forName="gear2dstNode" refType="w" fact="0.1"/>
          <dgm:constr type="t" for="ch" forName="gear2dstNode" refType="h" fact="0.3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refType="w" fact="0.34"/>
          <dgm:constr type="t" for="ch" forName="gear2ch" refType="w" fact="0.04"/>
        </dgm:constrLst>
      </dgm:if>
      <dgm:else name="Name3">
        <dgm:constrLst>
          <dgm:constr type="primFontSz" for="ch" ptType="node" op="equ" val="65"/>
          <dgm:constr type="w" for="ch" forName="gear1" refType="w" fact="0.55"/>
          <dgm:constr type="h" for="ch" forName="gear1" refType="w" fact="0.55"/>
          <dgm:constr type="l" for="ch" forName="gear1" refType="w" fact="0.45"/>
          <dgm:constr type="t" for="ch" forName="gear1" refType="w" fact="0.45"/>
          <dgm:constr type="w" for="ch" forName="gear1srcNode" val="1"/>
          <dgm:constr type="h" for="ch" forName="gear1srcNode" val="1"/>
          <dgm:constr type="l" for="ch" forName="gear1srcNode" refType="w" fact="0.72"/>
          <dgm:constr type="t" for="ch" forName="gear1srcNode" refType="w" fact="0.4"/>
          <dgm:constr type="w" for="ch" forName="gear1dstNode" val="1"/>
          <dgm:constr type="h" for="ch" forName="gear1dstNode" val="1"/>
          <dgm:constr type="r" for="ch" forName="gear1dstNode" refType="w" fact="0.98"/>
          <dgm:constr type="t" for="ch" forName="gear1dstNode" refType="h" fact="0.95"/>
          <dgm:constr type="diam" for="des" forName="connector1" refType="w" refFor="ch" refForName="gear1" op="equ" fact="1.15"/>
          <dgm:constr type="h" for="des" forName="connector1" refType="w" refFor="ch" refForName="gear1" op="equ" fact="0.1"/>
          <dgm:constr type="w" for="ch" forName="gear1ch" refType="w" fact="0.35"/>
          <dgm:constr type="h" for="ch" forName="gear1ch" refType="w" refFor="ch" refForName="gear1ch" fact="0.6"/>
          <dgm:constr type="l" for="ch" forName="gear1ch" refType="w" fact="0.38"/>
          <dgm:constr type="b" for="ch" forName="gear1ch" refType="h"/>
          <dgm:constr type="w" for="ch" forName="gear2" refType="w" fact="0.4"/>
          <dgm:constr type="h" for="ch" forName="gear2" refType="w" fact="0.4"/>
          <dgm:constr type="l" for="ch" forName="gear2" refType="w" fact="0.13"/>
          <dgm:constr type="t" for="ch" forName="gear2" refType="w" fact="0.32"/>
          <dgm:constr type="w" for="ch" forName="gear2srcNode" val="1"/>
          <dgm:constr type="h" for="ch" forName="gear2srcNode" val="1"/>
          <dgm:constr type="l" for="ch" forName="gear2srcNode" refType="w" fact="0.23"/>
          <dgm:constr type="t" for="ch" forName="gear2srcNode" refType="w" fact="0.28"/>
          <dgm:constr type="w" for="ch" forName="gear2dstNode" val="1"/>
          <dgm:constr type="h" for="ch" forName="gear2dstNode" val="1"/>
          <dgm:constr type="l" for="ch" forName="gear2dstNode" refType="w" fact="0.1"/>
          <dgm:constr type="t" for="ch" forName="gear2dstNode" refType="h" fact="0.53"/>
          <dgm:constr type="diam" for="des" forName="connector2" refType="w" refFor="ch" refForName="gear2" op="equ" fact="-1.1"/>
          <dgm:constr type="h" for="des" forName="connector2" refType="w" refFor="ch" refForName="gear1" op="equ" fact="0.1"/>
          <dgm:constr type="w" for="ch" forName="gear2ch" refType="w" fact="0.35"/>
          <dgm:constr type="h" for="ch" forName="gear2ch" refType="w" refFor="ch" refForName="gear2ch" fact="0.6"/>
          <dgm:constr type="l" for="ch" forName="gear2ch"/>
          <dgm:constr type="t" for="ch" forName="gear2ch" refType="w" fact="0.58"/>
          <dgm:constr type="w" for="ch" forName="gear3" refType="w" fact="0.48"/>
          <dgm:constr type="h" for="ch" forName="gear3" refType="w" fact="0.48"/>
          <dgm:constr type="l" for="ch" forName="gear3" refType="w" fact="0.31"/>
          <dgm:constr type="t" for="ch" forName="gear3"/>
          <dgm:constr type="w" for="ch" forName="gear3tx" refType="w" fact="0.22"/>
          <dgm:constr type="h" for="ch" forName="gear3tx" refType="w" fact="0.22"/>
          <dgm:constr type="ctrX" for="ch" forName="gear3tx" refType="ctrX" refFor="ch" refForName="gear3"/>
          <dgm:constr type="ctrY" for="ch" forName="gear3tx" refType="ctrY" refFor="ch" refForName="gear3"/>
          <dgm:constr type="w" for="ch" forName="gear3srcNode" val="1"/>
          <dgm:constr type="h" for="ch" forName="gear3srcNode" val="1"/>
          <dgm:constr type="l" for="ch" forName="gear3srcNode" refType="w" fact="0.3"/>
          <dgm:constr type="t" for="ch" forName="gear3srcNode" refType="w" fact="0.25"/>
          <dgm:constr type="w" for="ch" forName="gear3dstNode" val="1"/>
          <dgm:constr type="h" for="ch" forName="gear3dstNode" val="1"/>
          <dgm:constr type="l" for="ch" forName="gear3dstNode" refType="w" fact="0.38"/>
          <dgm:constr type="t" for="ch" forName="gear3dstNode" refType="h" fact="0.05"/>
          <dgm:constr type="diam" for="des" forName="connector3" refType="w" refFor="ch" refForName="gear3" op="equ"/>
          <dgm:constr type="h" for="des" forName="connector3" refType="w" refFor="ch" refForName="gear1" op="equ" fact="0.1"/>
          <dgm:constr type="w" for="ch" forName="gear3ch" refType="w" fact="0.35"/>
          <dgm:constr type="h" for="ch" forName="gear3ch" refType="w" refFor="ch" refForName="gear3ch" fact="0.6"/>
          <dgm:constr type="l" for="ch" forName="gear3ch" refType="w" fact="0.65"/>
          <dgm:constr type="t" for="ch" forName="gear3ch" refType="h" fact="0.13"/>
        </dgm:constrLst>
      </dgm:else>
    </dgm:choose>
    <dgm:ruleLst/>
    <dgm:forEach name="Name4" axis="ch" ptType="node" cnt="1">
      <dgm:layoutNode name="gear1" styleLbl="node1">
        <dgm:varLst>
          <dgm:chMax val="1"/>
          <dgm:bulletEnabled val="1"/>
        </dgm:varLst>
        <dgm:alg type="tx">
          <dgm:param type="txAnchorVertCh" val="mid"/>
        </dgm:alg>
        <dgm:shape xmlns:r="http://schemas.openxmlformats.org/officeDocument/2006/relationships" type="gear9"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1srcNode">
        <dgm:alg type="sp"/>
        <dgm:shape xmlns:r="http://schemas.openxmlformats.org/officeDocument/2006/relationships" type="rect" r:blip="" hideGeom="1">
          <dgm:adjLst/>
        </dgm:shape>
        <dgm:presOf axis="self"/>
        <dgm:constrLst/>
        <dgm:ruleLst/>
      </dgm:layoutNode>
      <dgm:layoutNode name="gear1dstNode">
        <dgm:alg type="sp"/>
        <dgm:shape xmlns:r="http://schemas.openxmlformats.org/officeDocument/2006/relationships" type="rect" r:blip="" hideGeom="1">
          <dgm:adjLst/>
        </dgm:shape>
        <dgm:presOf axis="self"/>
        <dgm:constrLst/>
        <dgm:ruleLst/>
      </dgm:layoutNode>
      <dgm:choose name="Name5">
        <dgm:if name="Name6" axis="ch" ptType="node" func="cnt" op="gte" val="1">
          <dgm:layoutNode name="gear1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7"/>
      </dgm:choose>
    </dgm:forEach>
    <dgm:forEach name="Name8" axis="ch" ptType="node" st="2" cnt="1">
      <dgm:layoutNode name="gear2" styleLbl="node1">
        <dgm:varLst>
          <dgm:chMax val="1"/>
          <dgm:bulletEnabled val="1"/>
        </dgm:varLst>
        <dgm:alg type="tx">
          <dgm:param type="txAnchorVertCh" val="mid"/>
        </dgm:alg>
        <dgm:shape xmlns:r="http://schemas.openxmlformats.org/officeDocument/2006/relationships" type="gear6"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2srcNode">
        <dgm:alg type="sp"/>
        <dgm:shape xmlns:r="http://schemas.openxmlformats.org/officeDocument/2006/relationships" type="rect" r:blip="" hideGeom="1">
          <dgm:adjLst/>
        </dgm:shape>
        <dgm:presOf axis="self"/>
        <dgm:constrLst/>
        <dgm:ruleLst/>
      </dgm:layoutNode>
      <dgm:layoutNode name="gear2dstNode">
        <dgm:alg type="sp"/>
        <dgm:shape xmlns:r="http://schemas.openxmlformats.org/officeDocument/2006/relationships" type="rect" r:blip="" hideGeom="1">
          <dgm:adjLst/>
        </dgm:shape>
        <dgm:presOf axis="self"/>
        <dgm:constrLst/>
        <dgm:ruleLst/>
      </dgm:layoutNode>
      <dgm:choose name="Name9">
        <dgm:if name="Name10" axis="ch" ptType="node" func="cnt" op="gte" val="1">
          <dgm:layoutNode name="gear2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1"/>
      </dgm:choose>
    </dgm:forEach>
    <dgm:forEach name="Name12" axis="ch" ptType="node" st="3" cnt="1">
      <dgm:layoutNode name="gear3" styleLbl="node1">
        <dgm:alg type="sp"/>
        <dgm:shape xmlns:r="http://schemas.openxmlformats.org/officeDocument/2006/relationships" rot="-15" type="gear6" r:blip="">
          <dgm:adjLst/>
        </dgm:shape>
        <dgm:presOf axis="self"/>
        <dgm:constrLst/>
        <dgm:ruleLst/>
      </dgm:layoutNode>
      <dgm:layoutNode name="gear3tx" styleLbl="node1">
        <dgm:varLst>
          <dgm:chMax val="1"/>
          <dgm:bulletEnabled val="1"/>
        </dgm:varLst>
        <dgm:alg type="tx">
          <dgm:param type="txAnchorVertCh" val="mid"/>
        </dgm:alg>
        <dgm:shape xmlns:r="http://schemas.openxmlformats.org/officeDocument/2006/relationships" type="rect" r:blip="" hideGeom="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gear3srcNode">
        <dgm:alg type="sp"/>
        <dgm:shape xmlns:r="http://schemas.openxmlformats.org/officeDocument/2006/relationships" type="rect" r:blip="" hideGeom="1">
          <dgm:adjLst/>
        </dgm:shape>
        <dgm:presOf axis="self"/>
        <dgm:constrLst/>
        <dgm:ruleLst/>
      </dgm:layoutNode>
      <dgm:layoutNode name="gear3dstNode">
        <dgm:alg type="sp"/>
        <dgm:shape xmlns:r="http://schemas.openxmlformats.org/officeDocument/2006/relationships" type="rect" r:blip="" hideGeom="1">
          <dgm:adjLst/>
        </dgm:shape>
        <dgm:presOf axis="self"/>
        <dgm:constrLst/>
        <dgm:ruleLst/>
      </dgm:layoutNode>
      <dgm:choose name="Name13">
        <dgm:if name="Name14" axis="ch" ptType="node" func="cnt" op="gte" val="1">
          <dgm:layoutNode name="gear3ch" styleLbl="fgAcc1">
            <dgm:varLst>
              <dgm:chMax val="0"/>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if>
        <dgm:else name="Name15"/>
      </dgm:choose>
    </dgm:forEach>
    <dgm:forEach name="Name16" axis="ch" ptType="sibTrans" hideLastTrans="0" cnt="1">
      <dgm:layoutNode name="connector1" styleLbl="sibTrans2D1">
        <dgm:alg type="conn">
          <dgm:param type="connRout" val="curve"/>
          <dgm:param type="srcNode" val="gear1srcNode"/>
          <dgm:param type="dstNode" val="gear1dstNode"/>
          <dgm:param type="begPts" val="midR"/>
          <dgm:param type="endPts" val="tCtr"/>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7" axis="ch" ptType="sibTrans" hideLastTrans="0" st="2" cnt="1">
      <dgm:layoutNode name="connector2" styleLbl="sibTrans2D1">
        <dgm:alg type="conn">
          <dgm:param type="connRout" val="curve"/>
          <dgm:param type="srcNode" val="gear2srcNode"/>
          <dgm:param type="dstNode" val="gear2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forEach name="Name18" axis="ch" ptType="sibTrans" hideLastTrans="0" st="3" cnt="1">
      <dgm:layoutNode name="connector3" styleLbl="sibTrans2D1">
        <dgm:alg type="conn">
          <dgm:param type="connRout" val="curve"/>
          <dgm:param type="srcNode" val="gear3srcNode"/>
          <dgm:param type="dstNode" val="gear3dstNode"/>
          <dgm:param type="begPts" val="midL"/>
          <dgm:param type="endPts" val="midL"/>
        </dgm:alg>
        <dgm:shape xmlns:r="http://schemas.openxmlformats.org/officeDocument/2006/relationships" type="conn" r:blip="">
          <dgm:adjLst/>
        </dgm:shape>
        <dgm:presOf axis="self"/>
        <dgm:constrLst>
          <dgm:constr type="w" val="10"/>
          <dgm:constr type="h" val="10"/>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legifrance.gouv.fr/affichCodeArticle.do?idArticle=LEGIARTI000037380127&amp;cidTexte=LEGITEXT000006072050&amp;dateTexte=20190101" TargetMode="External"/><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image" Target="../media/image18.jpeg"/><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image" Target="../media/image17.jpeg"/><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18" Type="http://schemas.openxmlformats.org/officeDocument/2006/relationships/chart" Target="../charts/chart39.xml"/><Relationship Id="rId3" Type="http://schemas.openxmlformats.org/officeDocument/2006/relationships/chart" Target="../charts/chart25.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 Type="http://schemas.openxmlformats.org/officeDocument/2006/relationships/chart" Target="../charts/chart24.xml"/><Relationship Id="rId16" Type="http://schemas.openxmlformats.org/officeDocument/2006/relationships/chart" Target="../charts/chart37.xml"/><Relationship Id="rId20" Type="http://schemas.openxmlformats.org/officeDocument/2006/relationships/image" Target="../media/image18.jpeg"/><Relationship Id="rId1" Type="http://schemas.openxmlformats.org/officeDocument/2006/relationships/chart" Target="../charts/chart23.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19" Type="http://schemas.openxmlformats.org/officeDocument/2006/relationships/chart" Target="../charts/chart40.xml"/><Relationship Id="rId4" Type="http://schemas.openxmlformats.org/officeDocument/2006/relationships/image" Target="../media/image19.jpeg"/><Relationship Id="rId9" Type="http://schemas.openxmlformats.org/officeDocument/2006/relationships/chart" Target="../charts/chart30.xml"/><Relationship Id="rId14"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3" Type="http://schemas.openxmlformats.org/officeDocument/2006/relationships/chart" Target="../charts/chart43.xml"/><Relationship Id="rId7" Type="http://schemas.openxmlformats.org/officeDocument/2006/relationships/chart" Target="../charts/chart46.xml"/><Relationship Id="rId12" Type="http://schemas.openxmlformats.org/officeDocument/2006/relationships/chart" Target="../charts/chart51.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0" Type="http://schemas.openxmlformats.org/officeDocument/2006/relationships/chart" Target="../charts/chart49.xml"/><Relationship Id="rId4" Type="http://schemas.openxmlformats.org/officeDocument/2006/relationships/image" Target="../media/image20.jpeg"/><Relationship Id="rId9" Type="http://schemas.openxmlformats.org/officeDocument/2006/relationships/chart" Target="../charts/chart48.xml"/><Relationship Id="rId14"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image" Target="../media/image18.jpeg"/><Relationship Id="rId4" Type="http://schemas.openxmlformats.org/officeDocument/2006/relationships/chart" Target="../charts/chart5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hyperlink" Target="https://travail-emploi.gouv.fr/droit-du-travail/egalite-professionnelle-discrimination-et-harcelement/questions-reponses-sur-le-calcul-de-l-index-de-l-egalite#Qu-est-ce-que-l-Index-de-l-egalite-professionnelle-entre-les-hommes-et-les-nbsp" TargetMode="External"/><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1</xdr:col>
      <xdr:colOff>300822</xdr:colOff>
      <xdr:row>3</xdr:row>
      <xdr:rowOff>202895</xdr:rowOff>
    </xdr:from>
    <xdr:to>
      <xdr:col>15</xdr:col>
      <xdr:colOff>524067</xdr:colOff>
      <xdr:row>36</xdr:row>
      <xdr:rowOff>190195</xdr:rowOff>
    </xdr:to>
    <xdr:graphicFrame macro="">
      <xdr:nvGraphicFramePr>
        <xdr:cNvPr id="2" name="Diagramme 1">
          <a:extLst>
            <a:ext uri="{FF2B5EF4-FFF2-40B4-BE49-F238E27FC236}">
              <a16:creationId xmlns:a16="http://schemas.microsoft.com/office/drawing/2014/main" id="{043D1431-0BA6-934B-B4CB-FF7F00E5473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12700</xdr:colOff>
      <xdr:row>0</xdr:row>
      <xdr:rowOff>190500</xdr:rowOff>
    </xdr:from>
    <xdr:to>
      <xdr:col>2</xdr:col>
      <xdr:colOff>279400</xdr:colOff>
      <xdr:row>1</xdr:row>
      <xdr:rowOff>12700</xdr:rowOff>
    </xdr:to>
    <xdr:pic>
      <xdr:nvPicPr>
        <xdr:cNvPr id="64341023" name="Image 6" descr="Description : logo_reseau_quadri.jpg">
          <a:extLst>
            <a:ext uri="{FF2B5EF4-FFF2-40B4-BE49-F238E27FC236}">
              <a16:creationId xmlns:a16="http://schemas.microsoft.com/office/drawing/2014/main" id="{5B3B6419-E5D1-3C4A-8B79-4AA8888647E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000" y="190500"/>
          <a:ext cx="1092200" cy="520700"/>
        </a:xfrm>
        <a:prstGeom prst="rect">
          <a:avLst/>
        </a:prstGeom>
        <a:solidFill>
          <a:srgbClr val="4BACC6"/>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63500</xdr:colOff>
      <xdr:row>1</xdr:row>
      <xdr:rowOff>165100</xdr:rowOff>
    </xdr:from>
    <xdr:to>
      <xdr:col>17</xdr:col>
      <xdr:colOff>431800</xdr:colOff>
      <xdr:row>9</xdr:row>
      <xdr:rowOff>119354</xdr:rowOff>
    </xdr:to>
    <xdr:pic>
      <xdr:nvPicPr>
        <xdr:cNvPr id="4" name="Image 3">
          <a:extLst>
            <a:ext uri="{FF2B5EF4-FFF2-40B4-BE49-F238E27FC236}">
              <a16:creationId xmlns:a16="http://schemas.microsoft.com/office/drawing/2014/main" id="{B46FB3F6-3340-1644-B44F-1B6EA44444CB}"/>
            </a:ext>
          </a:extLst>
        </xdr:cNvPr>
        <xdr:cNvPicPr>
          <a:picLocks noChangeAspect="1"/>
        </xdr:cNvPicPr>
      </xdr:nvPicPr>
      <xdr:blipFill>
        <a:blip xmlns:r="http://schemas.openxmlformats.org/officeDocument/2006/relationships" r:embed="rId7"/>
        <a:stretch>
          <a:fillRect/>
        </a:stretch>
      </xdr:blipFill>
      <xdr:spPr>
        <a:xfrm>
          <a:off x="12242800" y="863600"/>
          <a:ext cx="2019300" cy="18338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12700</xdr:colOff>
      <xdr:row>0</xdr:row>
      <xdr:rowOff>317500</xdr:rowOff>
    </xdr:from>
    <xdr:to>
      <xdr:col>2</xdr:col>
      <xdr:colOff>365626</xdr:colOff>
      <xdr:row>1</xdr:row>
      <xdr:rowOff>12700</xdr:rowOff>
    </xdr:to>
    <xdr:pic>
      <xdr:nvPicPr>
        <xdr:cNvPr id="64048188" name="Image 4" descr="Description : logo_reseau_quadri.jpg">
          <a:extLst>
            <a:ext uri="{FF2B5EF4-FFF2-40B4-BE49-F238E27FC236}">
              <a16:creationId xmlns:a16="http://schemas.microsoft.com/office/drawing/2014/main" id="{132FE48B-9CB0-A54D-A233-DF2A51C580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317500"/>
          <a:ext cx="1168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495300</xdr:colOff>
      <xdr:row>13</xdr:row>
      <xdr:rowOff>38100</xdr:rowOff>
    </xdr:from>
    <xdr:to>
      <xdr:col>14</xdr:col>
      <xdr:colOff>241300</xdr:colOff>
      <xdr:row>20</xdr:row>
      <xdr:rowOff>12700</xdr:rowOff>
    </xdr:to>
    <xdr:sp macro="" textlink="">
      <xdr:nvSpPr>
        <xdr:cNvPr id="2" name="ZoneTexte 1">
          <a:hlinkClick xmlns:r="http://schemas.openxmlformats.org/officeDocument/2006/relationships" r:id="rId2"/>
          <a:extLst>
            <a:ext uri="{FF2B5EF4-FFF2-40B4-BE49-F238E27FC236}">
              <a16:creationId xmlns:a16="http://schemas.microsoft.com/office/drawing/2014/main" id="{CA42E25F-46DB-994B-9B5B-E17BB1134DF7}"/>
            </a:ext>
          </a:extLst>
        </xdr:cNvPr>
        <xdr:cNvSpPr txBox="1"/>
      </xdr:nvSpPr>
      <xdr:spPr>
        <a:xfrm>
          <a:off x="14503400" y="4660900"/>
          <a:ext cx="3937000" cy="557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chemeClr val="tx1"/>
              </a:solidFill>
              <a:latin typeface="Arial" panose="020B0604020202020204" pitchFamily="34" charset="0"/>
              <a:cs typeface="Arial" panose="020B0604020202020204" pitchFamily="34" charset="0"/>
            </a:rPr>
            <a:t>Article L1142-9</a:t>
          </a:r>
        </a:p>
        <a:p>
          <a:pPr algn="ctr"/>
          <a:endParaRPr lang="fr-FR" sz="1400" b="1">
            <a:solidFill>
              <a:schemeClr val="tx1"/>
            </a:solidFill>
            <a:latin typeface="Arial" panose="020B0604020202020204" pitchFamily="34" charset="0"/>
            <a:cs typeface="Arial" panose="020B0604020202020204" pitchFamily="34" charset="0"/>
          </a:endParaRPr>
        </a:p>
        <a:p>
          <a:pPr algn="ctr"/>
          <a:r>
            <a:rPr lang="fr-FR" sz="1400">
              <a:solidFill>
                <a:schemeClr val="tx1"/>
              </a:solidFill>
              <a:latin typeface="Arial" panose="020B0604020202020204" pitchFamily="34" charset="0"/>
              <a:cs typeface="Arial" panose="020B0604020202020204" pitchFamily="34" charset="0"/>
            </a:rPr>
            <a:t>Dans les entreprises d'au moins cinquante salariés, lorsque les résultats obtenus par l'entreprise au regard des indicateurs mentionnés à l'article </a:t>
          </a:r>
          <a:r>
            <a:rPr lang="fr-FR" sz="1400">
              <a:solidFill>
                <a:schemeClr val="tx1"/>
              </a:solidFill>
              <a:latin typeface="Arial" panose="020B0604020202020204" pitchFamily="34" charset="0"/>
              <a:cs typeface="Arial" panose="020B0604020202020204" pitchFamily="34" charset="0"/>
              <a:hlinkClick xmlns:r="http://schemas.openxmlformats.org/officeDocument/2006/relationships" r:id=""/>
            </a:rPr>
            <a:t>L. 1142-8 </a:t>
          </a:r>
          <a:r>
            <a:rPr lang="fr-FR" sz="1400">
              <a:solidFill>
                <a:schemeClr val="tx1"/>
              </a:solidFill>
              <a:latin typeface="Arial" panose="020B0604020202020204" pitchFamily="34" charset="0"/>
              <a:cs typeface="Arial" panose="020B0604020202020204" pitchFamily="34" charset="0"/>
            </a:rPr>
            <a:t>se situent en-deçà d'un niveau défini par décret, la négociation sur l'égalité professionnelle prévue au 2° de l'article </a:t>
          </a:r>
          <a:r>
            <a:rPr lang="fr-FR" sz="1400">
              <a:solidFill>
                <a:schemeClr val="tx1"/>
              </a:solidFill>
              <a:latin typeface="Arial" panose="020B0604020202020204" pitchFamily="34" charset="0"/>
              <a:cs typeface="Arial" panose="020B0604020202020204" pitchFamily="34" charset="0"/>
              <a:hlinkClick xmlns:r="http://schemas.openxmlformats.org/officeDocument/2006/relationships" r:id=""/>
            </a:rPr>
            <a:t>L. 2242-1 </a:t>
          </a:r>
          <a:r>
            <a:rPr lang="fr-FR" sz="1400">
              <a:solidFill>
                <a:schemeClr val="tx1"/>
              </a:solidFill>
              <a:latin typeface="Arial" panose="020B0604020202020204" pitchFamily="34" charset="0"/>
              <a:cs typeface="Arial" panose="020B0604020202020204" pitchFamily="34" charset="0"/>
            </a:rPr>
            <a:t>porte également sur les mesures adéquates et pertinentes de correction et, le cas échéant, sur la programmation, annuelle ou pluriannuelle, de mesures financières de rattrapage salarial.</a:t>
          </a:r>
        </a:p>
        <a:p>
          <a:pPr algn="ctr"/>
          <a:endParaRPr lang="fr-FR" sz="1400">
            <a:solidFill>
              <a:schemeClr val="tx1"/>
            </a:solidFill>
            <a:latin typeface="Arial" panose="020B0604020202020204" pitchFamily="34" charset="0"/>
            <a:cs typeface="Arial" panose="020B0604020202020204" pitchFamily="34" charset="0"/>
          </a:endParaRPr>
        </a:p>
        <a:p>
          <a:pPr algn="ctr"/>
          <a:r>
            <a:rPr lang="fr-FR" sz="1400">
              <a:solidFill>
                <a:schemeClr val="tx1"/>
              </a:solidFill>
              <a:latin typeface="Arial" panose="020B0604020202020204" pitchFamily="34" charset="0"/>
              <a:cs typeface="Arial" panose="020B0604020202020204" pitchFamily="34" charset="0"/>
            </a:rPr>
            <a:t>En l'absence d'accord prévoyant de telles mesures, celles-ci sont déterminées par décision de l'employeur, après consultation du comité social et économique.</a:t>
          </a:r>
        </a:p>
        <a:p>
          <a:pPr algn="ctr"/>
          <a:endParaRPr lang="fr-FR" sz="1400">
            <a:solidFill>
              <a:schemeClr val="tx1"/>
            </a:solidFill>
            <a:latin typeface="Arial" panose="020B0604020202020204" pitchFamily="34" charset="0"/>
            <a:cs typeface="Arial" panose="020B0604020202020204" pitchFamily="34" charset="0"/>
          </a:endParaRPr>
        </a:p>
        <a:p>
          <a:pPr algn="ctr"/>
          <a:r>
            <a:rPr lang="fr-FR" sz="1400">
              <a:solidFill>
                <a:schemeClr val="tx1"/>
              </a:solidFill>
              <a:latin typeface="Arial" panose="020B0604020202020204" pitchFamily="34" charset="0"/>
              <a:cs typeface="Arial" panose="020B0604020202020204" pitchFamily="34" charset="0"/>
            </a:rPr>
            <a:t>La décision est déposée auprès de l'autorité administrative dans les mêmes conditions que le plan d'action mentionné à l'article </a:t>
          </a:r>
          <a:r>
            <a:rPr lang="fr-FR" sz="1400">
              <a:solidFill>
                <a:schemeClr val="tx1"/>
              </a:solidFill>
              <a:latin typeface="Arial" panose="020B0604020202020204" pitchFamily="34" charset="0"/>
              <a:cs typeface="Arial" panose="020B0604020202020204" pitchFamily="34" charset="0"/>
              <a:hlinkClick xmlns:r="http://schemas.openxmlformats.org/officeDocument/2006/relationships" r:id=""/>
            </a:rPr>
            <a:t>L. 2242-3</a:t>
          </a:r>
          <a:r>
            <a:rPr lang="fr-FR" sz="1400">
              <a:solidFill>
                <a:schemeClr val="tx1"/>
              </a:solidFill>
              <a:latin typeface="Arial" panose="020B0604020202020204" pitchFamily="34" charset="0"/>
              <a:cs typeface="Arial" panose="020B0604020202020204" pitchFamily="34" charset="0"/>
            </a:rPr>
            <a:t>.</a:t>
          </a:r>
        </a:p>
        <a:p>
          <a:pPr algn="ctr"/>
          <a:endParaRPr lang="fr-FR" sz="1400">
            <a:solidFill>
              <a:schemeClr val="tx1"/>
            </a:solidFill>
            <a:latin typeface="Arial" panose="020B0604020202020204" pitchFamily="34" charset="0"/>
            <a:cs typeface="Arial" panose="020B0604020202020204" pitchFamily="34" charset="0"/>
          </a:endParaRPr>
        </a:p>
        <a:p>
          <a:pPr algn="ctr"/>
          <a:r>
            <a:rPr lang="fr-FR" sz="1400">
              <a:solidFill>
                <a:schemeClr val="tx1"/>
              </a:solidFill>
              <a:latin typeface="Arial" panose="020B0604020202020204" pitchFamily="34" charset="0"/>
              <a:cs typeface="Arial" panose="020B0604020202020204" pitchFamily="34" charset="0"/>
            </a:rPr>
            <a:t>L'autorité administrative peut présenter des observations sur les mesures prévues par l'accord ou la décision de l'employeur.</a:t>
          </a:r>
        </a:p>
      </xdr:txBody>
    </xdr:sp>
    <xdr:clientData/>
  </xdr:twoCellAnchor>
  <xdr:twoCellAnchor>
    <xdr:from>
      <xdr:col>6</xdr:col>
      <xdr:colOff>317500</xdr:colOff>
      <xdr:row>2</xdr:row>
      <xdr:rowOff>79508</xdr:rowOff>
    </xdr:from>
    <xdr:to>
      <xdr:col>12</xdr:col>
      <xdr:colOff>203200</xdr:colOff>
      <xdr:row>5</xdr:row>
      <xdr:rowOff>127000</xdr:rowOff>
    </xdr:to>
    <xdr:sp macro="" textlink="">
      <xdr:nvSpPr>
        <xdr:cNvPr id="5" name="ZoneTexte 4">
          <a:extLst>
            <a:ext uri="{FF2B5EF4-FFF2-40B4-BE49-F238E27FC236}">
              <a16:creationId xmlns:a16="http://schemas.microsoft.com/office/drawing/2014/main" id="{AF2D7FDA-F8C7-FB46-B313-F2B0ECEFF277}"/>
            </a:ext>
          </a:extLst>
        </xdr:cNvPr>
        <xdr:cNvSpPr txBox="1"/>
      </xdr:nvSpPr>
      <xdr:spPr>
        <a:xfrm>
          <a:off x="11023600" y="1324108"/>
          <a:ext cx="7378700" cy="860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400" b="0">
              <a:latin typeface="Ubuntu" panose="020B0504030602030204" pitchFamily="34" charset="0"/>
            </a:rPr>
            <a:t>Ces tableaux ont été produits par le Ministère du Travail pour les entreprises</a:t>
          </a:r>
        </a:p>
        <a:p>
          <a:pPr algn="r"/>
          <a:r>
            <a:rPr lang="fr-FR" sz="1400" b="0">
              <a:latin typeface="Ubuntu" panose="020B0504030602030204" pitchFamily="34" charset="0"/>
            </a:rPr>
            <a:t>L'Anact propose un calcul automatique à partir de la feuille de données de l'outil</a:t>
          </a:r>
        </a:p>
      </xdr:txBody>
    </xdr:sp>
    <xdr:clientData/>
  </xdr:twoCellAnchor>
  <xdr:twoCellAnchor editAs="oneCell">
    <xdr:from>
      <xdr:col>12</xdr:col>
      <xdr:colOff>368299</xdr:colOff>
      <xdr:row>1</xdr:row>
      <xdr:rowOff>50800</xdr:rowOff>
    </xdr:from>
    <xdr:to>
      <xdr:col>14</xdr:col>
      <xdr:colOff>736599</xdr:colOff>
      <xdr:row>8</xdr:row>
      <xdr:rowOff>17754</xdr:rowOff>
    </xdr:to>
    <xdr:pic>
      <xdr:nvPicPr>
        <xdr:cNvPr id="6" name="Image 5">
          <a:extLst>
            <a:ext uri="{FF2B5EF4-FFF2-40B4-BE49-F238E27FC236}">
              <a16:creationId xmlns:a16="http://schemas.microsoft.com/office/drawing/2014/main" id="{FF690EDC-C9CA-6A4C-A293-147E98A051E7}"/>
            </a:ext>
          </a:extLst>
        </xdr:cNvPr>
        <xdr:cNvPicPr>
          <a:picLocks noChangeAspect="1"/>
        </xdr:cNvPicPr>
      </xdr:nvPicPr>
      <xdr:blipFill>
        <a:blip xmlns:r="http://schemas.openxmlformats.org/officeDocument/2006/relationships" r:embed="rId3"/>
        <a:stretch>
          <a:fillRect/>
        </a:stretch>
      </xdr:blipFill>
      <xdr:spPr>
        <a:xfrm>
          <a:off x="18567399" y="965200"/>
          <a:ext cx="2019300" cy="18338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158750</xdr:colOff>
      <xdr:row>33</xdr:row>
      <xdr:rowOff>35608</xdr:rowOff>
    </xdr:from>
    <xdr:to>
      <xdr:col>10</xdr:col>
      <xdr:colOff>653</xdr:colOff>
      <xdr:row>47</xdr:row>
      <xdr:rowOff>101600</xdr:rowOff>
    </xdr:to>
    <xdr:graphicFrame macro="">
      <xdr:nvGraphicFramePr>
        <xdr:cNvPr id="64050636" name="Chart 8">
          <a:extLst>
            <a:ext uri="{FF2B5EF4-FFF2-40B4-BE49-F238E27FC236}">
              <a16:creationId xmlns:a16="http://schemas.microsoft.com/office/drawing/2014/main" id="{21FB74FF-FB46-8F46-9F38-628A21B6C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3022</xdr:colOff>
      <xdr:row>33</xdr:row>
      <xdr:rowOff>35608</xdr:rowOff>
    </xdr:from>
    <xdr:to>
      <xdr:col>16</xdr:col>
      <xdr:colOff>446313</xdr:colOff>
      <xdr:row>47</xdr:row>
      <xdr:rowOff>114300</xdr:rowOff>
    </xdr:to>
    <xdr:graphicFrame macro="">
      <xdr:nvGraphicFramePr>
        <xdr:cNvPr id="64050637" name="Chart 9">
          <a:extLst>
            <a:ext uri="{FF2B5EF4-FFF2-40B4-BE49-F238E27FC236}">
              <a16:creationId xmlns:a16="http://schemas.microsoft.com/office/drawing/2014/main" id="{002D0AE0-85FF-5646-8FBE-5FF6BF0E2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75594</xdr:colOff>
      <xdr:row>32</xdr:row>
      <xdr:rowOff>158750</xdr:rowOff>
    </xdr:from>
    <xdr:to>
      <xdr:col>24</xdr:col>
      <xdr:colOff>846666</xdr:colOff>
      <xdr:row>47</xdr:row>
      <xdr:rowOff>101599</xdr:rowOff>
    </xdr:to>
    <xdr:graphicFrame macro="">
      <xdr:nvGraphicFramePr>
        <xdr:cNvPr id="64050638" name="Chart 11">
          <a:extLst>
            <a:ext uri="{FF2B5EF4-FFF2-40B4-BE49-F238E27FC236}">
              <a16:creationId xmlns:a16="http://schemas.microsoft.com/office/drawing/2014/main" id="{48A788CB-42E9-0840-B676-CF0CB4317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12700</xdr:colOff>
      <xdr:row>14</xdr:row>
      <xdr:rowOff>215900</xdr:rowOff>
    </xdr:from>
    <xdr:to>
      <xdr:col>3</xdr:col>
      <xdr:colOff>719847</xdr:colOff>
      <xdr:row>15</xdr:row>
      <xdr:rowOff>25400</xdr:rowOff>
    </xdr:to>
    <xdr:pic>
      <xdr:nvPicPr>
        <xdr:cNvPr id="64050639" name="Image 8" descr="Description : logo_reseau_quadri.jpg">
          <a:extLst>
            <a:ext uri="{FF2B5EF4-FFF2-40B4-BE49-F238E27FC236}">
              <a16:creationId xmlns:a16="http://schemas.microsoft.com/office/drawing/2014/main" id="{D2F55F3D-7D3C-904D-973F-622E145E528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0700" y="215900"/>
          <a:ext cx="11811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139700</xdr:colOff>
      <xdr:row>1</xdr:row>
      <xdr:rowOff>110977</xdr:rowOff>
    </xdr:from>
    <xdr:to>
      <xdr:col>3</xdr:col>
      <xdr:colOff>1556522</xdr:colOff>
      <xdr:row>11</xdr:row>
      <xdr:rowOff>142430</xdr:rowOff>
    </xdr:to>
    <mc:AlternateContent xmlns:mc="http://schemas.openxmlformats.org/markup-compatibility/2006" xmlns:a14="http://schemas.microsoft.com/office/drawing/2010/main">
      <mc:Choice Requires="a14">
        <xdr:graphicFrame macro="">
          <xdr:nvGraphicFramePr>
            <xdr:cNvPr id="21" name="TYPE DE CONTRAT 4">
              <a:extLst>
                <a:ext uri="{FF2B5EF4-FFF2-40B4-BE49-F238E27FC236}">
                  <a16:creationId xmlns:a16="http://schemas.microsoft.com/office/drawing/2014/main" id="{4016D3A6-9ED4-254B-BDB4-7434F8D5023C}"/>
                </a:ext>
              </a:extLst>
            </xdr:cNvPr>
            <xdr:cNvGraphicFramePr/>
          </xdr:nvGraphicFramePr>
          <xdr:xfrm>
            <a:off x="0" y="0"/>
            <a:ext cx="0" cy="0"/>
          </xdr:xfrm>
          <a:graphic>
            <a:graphicData uri="http://schemas.microsoft.com/office/drawing/2010/slicer">
              <sle:slicer xmlns:sle="http://schemas.microsoft.com/office/drawing/2010/slicer" name="TYPE DE CONTRAT 4"/>
            </a:graphicData>
          </a:graphic>
        </xdr:graphicFrame>
      </mc:Choice>
      <mc:Fallback xmlns="">
        <xdr:sp macro="" textlink="">
          <xdr:nvSpPr>
            <xdr:cNvPr id="0" name=""/>
            <xdr:cNvSpPr>
              <a:spLocks noTextEdit="1"/>
            </xdr:cNvSpPr>
          </xdr:nvSpPr>
          <xdr:spPr>
            <a:xfrm>
              <a:off x="1018018" y="360229"/>
              <a:ext cx="1832242" cy="233300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3</xdr:col>
      <xdr:colOff>1623785</xdr:colOff>
      <xdr:row>1</xdr:row>
      <xdr:rowOff>111692</xdr:rowOff>
    </xdr:from>
    <xdr:to>
      <xdr:col>6</xdr:col>
      <xdr:colOff>51778</xdr:colOff>
      <xdr:row>11</xdr:row>
      <xdr:rowOff>142467</xdr:rowOff>
    </xdr:to>
    <mc:AlternateContent xmlns:mc="http://schemas.openxmlformats.org/markup-compatibility/2006" xmlns:a14="http://schemas.microsoft.com/office/drawing/2010/main">
      <mc:Choice Requires="a14">
        <xdr:graphicFrame macro="">
          <xdr:nvGraphicFramePr>
            <xdr:cNvPr id="22" name="CATEGORIE 4">
              <a:extLst>
                <a:ext uri="{FF2B5EF4-FFF2-40B4-BE49-F238E27FC236}">
                  <a16:creationId xmlns:a16="http://schemas.microsoft.com/office/drawing/2014/main" id="{31C23903-E613-8940-84DE-36AFB49148AF}"/>
                </a:ext>
              </a:extLst>
            </xdr:cNvPr>
            <xdr:cNvGraphicFramePr/>
          </xdr:nvGraphicFramePr>
          <xdr:xfrm>
            <a:off x="0" y="0"/>
            <a:ext cx="0" cy="0"/>
          </xdr:xfrm>
          <a:graphic>
            <a:graphicData uri="http://schemas.microsoft.com/office/drawing/2010/slicer">
              <sle:slicer xmlns:sle="http://schemas.microsoft.com/office/drawing/2010/slicer" name="CATEGORIE 4"/>
            </a:graphicData>
          </a:graphic>
        </xdr:graphicFrame>
      </mc:Choice>
      <mc:Fallback xmlns="">
        <xdr:sp macro="" textlink="">
          <xdr:nvSpPr>
            <xdr:cNvPr id="0" name=""/>
            <xdr:cNvSpPr>
              <a:spLocks noTextEdit="1"/>
            </xdr:cNvSpPr>
          </xdr:nvSpPr>
          <xdr:spPr>
            <a:xfrm>
              <a:off x="2556441" y="369661"/>
              <a:ext cx="1275571" cy="2144134"/>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6</xdr:col>
      <xdr:colOff>126660</xdr:colOff>
      <xdr:row>1</xdr:row>
      <xdr:rowOff>99219</xdr:rowOff>
    </xdr:from>
    <xdr:to>
      <xdr:col>7</xdr:col>
      <xdr:colOff>391659</xdr:colOff>
      <xdr:row>11</xdr:row>
      <xdr:rowOff>154411</xdr:rowOff>
    </xdr:to>
    <mc:AlternateContent xmlns:mc="http://schemas.openxmlformats.org/markup-compatibility/2006" xmlns:a14="http://schemas.microsoft.com/office/drawing/2010/main">
      <mc:Choice Requires="a14">
        <xdr:graphicFrame macro="">
          <xdr:nvGraphicFramePr>
            <xdr:cNvPr id="23" name="NOUVELLE COTATION PROPRE 4">
              <a:extLst>
                <a:ext uri="{FF2B5EF4-FFF2-40B4-BE49-F238E27FC236}">
                  <a16:creationId xmlns:a16="http://schemas.microsoft.com/office/drawing/2014/main" id="{02F7AFF1-4906-0545-97E9-C419E1526BA6}"/>
                </a:ext>
              </a:extLst>
            </xdr:cNvPr>
            <xdr:cNvGraphicFramePr/>
          </xdr:nvGraphicFramePr>
          <xdr:xfrm>
            <a:off x="0" y="0"/>
            <a:ext cx="0" cy="0"/>
          </xdr:xfrm>
          <a:graphic>
            <a:graphicData uri="http://schemas.microsoft.com/office/drawing/2010/slicer">
              <sle:slicer xmlns:sle="http://schemas.microsoft.com/office/drawing/2010/slicer" name="NOUVELLE COTATION PROPRE 4"/>
            </a:graphicData>
          </a:graphic>
        </xdr:graphicFrame>
      </mc:Choice>
      <mc:Fallback xmlns="">
        <xdr:sp macro="" textlink="">
          <xdr:nvSpPr>
            <xdr:cNvPr id="0" name=""/>
            <xdr:cNvSpPr>
              <a:spLocks noTextEdit="1"/>
            </xdr:cNvSpPr>
          </xdr:nvSpPr>
          <xdr:spPr>
            <a:xfrm>
              <a:off x="3906894" y="357188"/>
              <a:ext cx="1098437" cy="2168551"/>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9</xdr:col>
      <xdr:colOff>375557</xdr:colOff>
      <xdr:row>1</xdr:row>
      <xdr:rowOff>75407</xdr:rowOff>
    </xdr:from>
    <xdr:to>
      <xdr:col>12</xdr:col>
      <xdr:colOff>239712</xdr:colOff>
      <xdr:row>11</xdr:row>
      <xdr:rowOff>142468</xdr:rowOff>
    </xdr:to>
    <mc:AlternateContent xmlns:mc="http://schemas.openxmlformats.org/markup-compatibility/2006" xmlns:a14="http://schemas.microsoft.com/office/drawing/2010/main">
      <mc:Choice Requires="a14">
        <xdr:graphicFrame macro="">
          <xdr:nvGraphicFramePr>
            <xdr:cNvPr id="24" name="Tranches d'âge Index">
              <a:extLst>
                <a:ext uri="{FF2B5EF4-FFF2-40B4-BE49-F238E27FC236}">
                  <a16:creationId xmlns:a16="http://schemas.microsoft.com/office/drawing/2014/main" id="{01CC7277-60C3-D04A-A81C-5B275170A08E}"/>
                </a:ext>
              </a:extLst>
            </xdr:cNvPr>
            <xdr:cNvGraphicFramePr/>
          </xdr:nvGraphicFramePr>
          <xdr:xfrm>
            <a:off x="0" y="0"/>
            <a:ext cx="0" cy="0"/>
          </xdr:xfrm>
          <a:graphic>
            <a:graphicData uri="http://schemas.microsoft.com/office/drawing/2010/slicer">
              <sle:slicer xmlns:sle="http://schemas.microsoft.com/office/drawing/2010/slicer" name="Tranches d'âge Index"/>
            </a:graphicData>
          </a:graphic>
        </xdr:graphicFrame>
      </mc:Choice>
      <mc:Fallback xmlns="">
        <xdr:sp macro="" textlink="">
          <xdr:nvSpPr>
            <xdr:cNvPr id="0" name=""/>
            <xdr:cNvSpPr>
              <a:spLocks noTextEdit="1"/>
            </xdr:cNvSpPr>
          </xdr:nvSpPr>
          <xdr:spPr>
            <a:xfrm>
              <a:off x="6318760" y="333376"/>
              <a:ext cx="1263140" cy="218042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12</xdr:col>
      <xdr:colOff>302760</xdr:colOff>
      <xdr:row>1</xdr:row>
      <xdr:rowOff>81077</xdr:rowOff>
    </xdr:from>
    <xdr:to>
      <xdr:col>13</xdr:col>
      <xdr:colOff>95250</xdr:colOff>
      <xdr:row>11</xdr:row>
      <xdr:rowOff>154411</xdr:rowOff>
    </xdr:to>
    <mc:AlternateContent xmlns:mc="http://schemas.openxmlformats.org/markup-compatibility/2006" xmlns:a14="http://schemas.microsoft.com/office/drawing/2010/main">
      <mc:Choice Requires="a14">
        <xdr:graphicFrame macro="">
          <xdr:nvGraphicFramePr>
            <xdr:cNvPr id="25" name="DUREE DU TRAVAIL 4">
              <a:extLst>
                <a:ext uri="{FF2B5EF4-FFF2-40B4-BE49-F238E27FC236}">
                  <a16:creationId xmlns:a16="http://schemas.microsoft.com/office/drawing/2014/main" id="{B4C00278-0BD7-C340-B3DC-2DA461DF8624}"/>
                </a:ext>
              </a:extLst>
            </xdr:cNvPr>
            <xdr:cNvGraphicFramePr/>
          </xdr:nvGraphicFramePr>
          <xdr:xfrm>
            <a:off x="0" y="0"/>
            <a:ext cx="0" cy="0"/>
          </xdr:xfrm>
          <a:graphic>
            <a:graphicData uri="http://schemas.microsoft.com/office/drawing/2010/slicer">
              <sle:slicer xmlns:sle="http://schemas.microsoft.com/office/drawing/2010/slicer" name="DUREE DU TRAVAIL 4"/>
            </a:graphicData>
          </a:graphic>
        </xdr:graphicFrame>
      </mc:Choice>
      <mc:Fallback xmlns="">
        <xdr:sp macro="" textlink="">
          <xdr:nvSpPr>
            <xdr:cNvPr id="0" name=""/>
            <xdr:cNvSpPr>
              <a:spLocks noTextEdit="1"/>
            </xdr:cNvSpPr>
          </xdr:nvSpPr>
          <xdr:spPr>
            <a:xfrm>
              <a:off x="7644948" y="339046"/>
              <a:ext cx="1290693" cy="2186693"/>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13</xdr:col>
      <xdr:colOff>170996</xdr:colOff>
      <xdr:row>1</xdr:row>
      <xdr:rowOff>57267</xdr:rowOff>
    </xdr:from>
    <xdr:to>
      <xdr:col>15</xdr:col>
      <xdr:colOff>159882</xdr:colOff>
      <xdr:row>11</xdr:row>
      <xdr:rowOff>166206</xdr:rowOff>
    </xdr:to>
    <mc:AlternateContent xmlns:mc="http://schemas.openxmlformats.org/markup-compatibility/2006" xmlns:a14="http://schemas.microsoft.com/office/drawing/2010/main">
      <mc:Choice Requires="a14">
        <xdr:graphicFrame macro="">
          <xdr:nvGraphicFramePr>
            <xdr:cNvPr id="26" name="Tranche ancienneté">
              <a:extLst>
                <a:ext uri="{FF2B5EF4-FFF2-40B4-BE49-F238E27FC236}">
                  <a16:creationId xmlns:a16="http://schemas.microsoft.com/office/drawing/2014/main" id="{B6ADAE37-2963-8F4C-BAF9-D6BA4A4719E7}"/>
                </a:ext>
              </a:extLst>
            </xdr:cNvPr>
            <xdr:cNvGraphicFramePr/>
          </xdr:nvGraphicFramePr>
          <xdr:xfrm>
            <a:off x="0" y="0"/>
            <a:ext cx="0" cy="0"/>
          </xdr:xfrm>
          <a:graphic>
            <a:graphicData uri="http://schemas.microsoft.com/office/drawing/2010/slicer">
              <sle:slicer xmlns:sle="http://schemas.microsoft.com/office/drawing/2010/slicer" name="Tranche ancienneté"/>
            </a:graphicData>
          </a:graphic>
        </xdr:graphicFrame>
      </mc:Choice>
      <mc:Fallback xmlns="">
        <xdr:sp macro="" textlink="">
          <xdr:nvSpPr>
            <xdr:cNvPr id="0" name=""/>
            <xdr:cNvSpPr>
              <a:spLocks noTextEdit="1"/>
            </xdr:cNvSpPr>
          </xdr:nvSpPr>
          <xdr:spPr>
            <a:xfrm>
              <a:off x="9011387" y="315236"/>
              <a:ext cx="1526776" cy="222229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15</xdr:col>
      <xdr:colOff>211250</xdr:colOff>
      <xdr:row>1</xdr:row>
      <xdr:rowOff>49553</xdr:rowOff>
    </xdr:from>
    <xdr:to>
      <xdr:col>21</xdr:col>
      <xdr:colOff>773906</xdr:colOff>
      <xdr:row>11</xdr:row>
      <xdr:rowOff>166650</xdr:rowOff>
    </xdr:to>
    <mc:AlternateContent xmlns:mc="http://schemas.openxmlformats.org/markup-compatibility/2006" xmlns:a14="http://schemas.microsoft.com/office/drawing/2010/main">
      <mc:Choice Requires="a14">
        <xdr:graphicFrame macro="">
          <xdr:nvGraphicFramePr>
            <xdr:cNvPr id="27" name="EMPLOI 4">
              <a:extLst>
                <a:ext uri="{FF2B5EF4-FFF2-40B4-BE49-F238E27FC236}">
                  <a16:creationId xmlns:a16="http://schemas.microsoft.com/office/drawing/2014/main" id="{A2865B7E-BE64-DC48-9B43-07AC506BA0DF}"/>
                </a:ext>
              </a:extLst>
            </xdr:cNvPr>
            <xdr:cNvGraphicFramePr/>
          </xdr:nvGraphicFramePr>
          <xdr:xfrm>
            <a:off x="0" y="0"/>
            <a:ext cx="0" cy="0"/>
          </xdr:xfrm>
          <a:graphic>
            <a:graphicData uri="http://schemas.microsoft.com/office/drawing/2010/slicer">
              <sle:slicer xmlns:sle="http://schemas.microsoft.com/office/drawing/2010/slicer" name="EMPLOI 4"/>
            </a:graphicData>
          </a:graphic>
        </xdr:graphicFrame>
      </mc:Choice>
      <mc:Fallback xmlns="">
        <xdr:sp macro="" textlink="">
          <xdr:nvSpPr>
            <xdr:cNvPr id="0" name=""/>
            <xdr:cNvSpPr>
              <a:spLocks noTextEdit="1"/>
            </xdr:cNvSpPr>
          </xdr:nvSpPr>
          <xdr:spPr>
            <a:xfrm>
              <a:off x="10589531" y="307522"/>
              <a:ext cx="2666094" cy="223045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21</xdr:col>
      <xdr:colOff>818052</xdr:colOff>
      <xdr:row>1</xdr:row>
      <xdr:rowOff>55979</xdr:rowOff>
    </xdr:from>
    <xdr:to>
      <xdr:col>22</xdr:col>
      <xdr:colOff>392903</xdr:colOff>
      <xdr:row>11</xdr:row>
      <xdr:rowOff>133935</xdr:rowOff>
    </xdr:to>
    <mc:AlternateContent xmlns:mc="http://schemas.openxmlformats.org/markup-compatibility/2006" xmlns:a14="http://schemas.microsoft.com/office/drawing/2010/main">
      <mc:Choice Requires="a14">
        <xdr:graphicFrame macro="">
          <xdr:nvGraphicFramePr>
            <xdr:cNvPr id="30" name="METIER 4">
              <a:extLst>
                <a:ext uri="{FF2B5EF4-FFF2-40B4-BE49-F238E27FC236}">
                  <a16:creationId xmlns:a16="http://schemas.microsoft.com/office/drawing/2014/main" id="{7145FAFA-51DD-164F-BA24-5B954D3E09BA}"/>
                </a:ext>
              </a:extLst>
            </xdr:cNvPr>
            <xdr:cNvGraphicFramePr/>
          </xdr:nvGraphicFramePr>
          <xdr:xfrm>
            <a:off x="0" y="0"/>
            <a:ext cx="0" cy="0"/>
          </xdr:xfrm>
          <a:graphic>
            <a:graphicData uri="http://schemas.microsoft.com/office/drawing/2010/slicer">
              <sle:slicer xmlns:sle="http://schemas.microsoft.com/office/drawing/2010/slicer" name="METIER 4"/>
            </a:graphicData>
          </a:graphic>
        </xdr:graphicFrame>
      </mc:Choice>
      <mc:Fallback xmlns="">
        <xdr:sp macro="" textlink="">
          <xdr:nvSpPr>
            <xdr:cNvPr id="0" name=""/>
            <xdr:cNvSpPr>
              <a:spLocks noTextEdit="1"/>
            </xdr:cNvSpPr>
          </xdr:nvSpPr>
          <xdr:spPr>
            <a:xfrm>
              <a:off x="13299771" y="313948"/>
              <a:ext cx="1400476" cy="219131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7</xdr:col>
      <xdr:colOff>449489</xdr:colOff>
      <xdr:row>1</xdr:row>
      <xdr:rowOff>93548</xdr:rowOff>
    </xdr:from>
    <xdr:to>
      <xdr:col>9</xdr:col>
      <xdr:colOff>327593</xdr:colOff>
      <xdr:row>11</xdr:row>
      <xdr:rowOff>154336</xdr:rowOff>
    </xdr:to>
    <mc:AlternateContent xmlns:mc="http://schemas.openxmlformats.org/markup-compatibility/2006" xmlns:a14="http://schemas.microsoft.com/office/drawing/2010/main">
      <mc:Choice Requires="a14">
        <xdr:graphicFrame macro="">
          <xdr:nvGraphicFramePr>
            <xdr:cNvPr id="31" name="COEF BRANCHE 4">
              <a:extLst>
                <a:ext uri="{FF2B5EF4-FFF2-40B4-BE49-F238E27FC236}">
                  <a16:creationId xmlns:a16="http://schemas.microsoft.com/office/drawing/2014/main" id="{B7506BF4-B269-B04D-8602-3ADBCED4CE98}"/>
                </a:ext>
              </a:extLst>
            </xdr:cNvPr>
            <xdr:cNvGraphicFramePr/>
          </xdr:nvGraphicFramePr>
          <xdr:xfrm>
            <a:off x="0" y="0"/>
            <a:ext cx="0" cy="0"/>
          </xdr:xfrm>
          <a:graphic>
            <a:graphicData uri="http://schemas.microsoft.com/office/drawing/2010/slicer">
              <sle:slicer xmlns:sle="http://schemas.microsoft.com/office/drawing/2010/slicer" name="COEF BRANCHE 4"/>
            </a:graphicData>
          </a:graphic>
        </xdr:graphicFrame>
      </mc:Choice>
      <mc:Fallback xmlns="">
        <xdr:sp macro="" textlink="">
          <xdr:nvSpPr>
            <xdr:cNvPr id="0" name=""/>
            <xdr:cNvSpPr>
              <a:spLocks noTextEdit="1"/>
            </xdr:cNvSpPr>
          </xdr:nvSpPr>
          <xdr:spPr>
            <a:xfrm>
              <a:off x="5063161" y="351517"/>
              <a:ext cx="1207635" cy="2174147"/>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xdr:from>
      <xdr:col>2</xdr:col>
      <xdr:colOff>140946</xdr:colOff>
      <xdr:row>74</xdr:row>
      <xdr:rowOff>115724</xdr:rowOff>
    </xdr:from>
    <xdr:to>
      <xdr:col>10</xdr:col>
      <xdr:colOff>308767</xdr:colOff>
      <xdr:row>87</xdr:row>
      <xdr:rowOff>86468</xdr:rowOff>
    </xdr:to>
    <xdr:graphicFrame macro="">
      <xdr:nvGraphicFramePr>
        <xdr:cNvPr id="16" name="Chart 8">
          <a:extLst>
            <a:ext uri="{FF2B5EF4-FFF2-40B4-BE49-F238E27FC236}">
              <a16:creationId xmlns:a16="http://schemas.microsoft.com/office/drawing/2014/main" id="{D8A17570-F358-AD4C-B96E-203AA0939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106871</xdr:colOff>
      <xdr:row>74</xdr:row>
      <xdr:rowOff>133528</xdr:rowOff>
    </xdr:from>
    <xdr:to>
      <xdr:col>16</xdr:col>
      <xdr:colOff>261937</xdr:colOff>
      <xdr:row>87</xdr:row>
      <xdr:rowOff>68832</xdr:rowOff>
    </xdr:to>
    <xdr:graphicFrame macro="">
      <xdr:nvGraphicFramePr>
        <xdr:cNvPr id="17" name="Chart 9">
          <a:extLst>
            <a:ext uri="{FF2B5EF4-FFF2-40B4-BE49-F238E27FC236}">
              <a16:creationId xmlns:a16="http://schemas.microsoft.com/office/drawing/2014/main" id="{54EF95E2-1158-2942-B485-313305AD4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284859</xdr:colOff>
      <xdr:row>74</xdr:row>
      <xdr:rowOff>142430</xdr:rowOff>
    </xdr:from>
    <xdr:to>
      <xdr:col>25</xdr:col>
      <xdr:colOff>172695</xdr:colOff>
      <xdr:row>87</xdr:row>
      <xdr:rowOff>59762</xdr:rowOff>
    </xdr:to>
    <xdr:graphicFrame macro="">
      <xdr:nvGraphicFramePr>
        <xdr:cNvPr id="18" name="Chart 10">
          <a:extLst>
            <a:ext uri="{FF2B5EF4-FFF2-40B4-BE49-F238E27FC236}">
              <a16:creationId xmlns:a16="http://schemas.microsoft.com/office/drawing/2014/main" id="{3315897D-B1E4-8342-B11C-E8045B375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33036</xdr:colOff>
      <xdr:row>117</xdr:row>
      <xdr:rowOff>255587</xdr:rowOff>
    </xdr:from>
    <xdr:to>
      <xdr:col>26</xdr:col>
      <xdr:colOff>515939</xdr:colOff>
      <xdr:row>131</xdr:row>
      <xdr:rowOff>26457</xdr:rowOff>
    </xdr:to>
    <xdr:graphicFrame macro="">
      <xdr:nvGraphicFramePr>
        <xdr:cNvPr id="28" name="Chart 12">
          <a:extLst>
            <a:ext uri="{FF2B5EF4-FFF2-40B4-BE49-F238E27FC236}">
              <a16:creationId xmlns:a16="http://schemas.microsoft.com/office/drawing/2014/main" id="{575791A8-5BBC-7246-BE17-8A811307F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76200</xdr:colOff>
      <xdr:row>158</xdr:row>
      <xdr:rowOff>71437</xdr:rowOff>
    </xdr:from>
    <xdr:to>
      <xdr:col>9</xdr:col>
      <xdr:colOff>330200</xdr:colOff>
      <xdr:row>171</xdr:row>
      <xdr:rowOff>108857</xdr:rowOff>
    </xdr:to>
    <xdr:graphicFrame macro="">
      <xdr:nvGraphicFramePr>
        <xdr:cNvPr id="44" name="Chart 9">
          <a:extLst>
            <a:ext uri="{FF2B5EF4-FFF2-40B4-BE49-F238E27FC236}">
              <a16:creationId xmlns:a16="http://schemas.microsoft.com/office/drawing/2014/main" id="{FDBADD5D-1241-9640-9358-CB4D4A18B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35226</xdr:colOff>
      <xdr:row>157</xdr:row>
      <xdr:rowOff>195791</xdr:rowOff>
    </xdr:from>
    <xdr:to>
      <xdr:col>18</xdr:col>
      <xdr:colOff>341841</xdr:colOff>
      <xdr:row>171</xdr:row>
      <xdr:rowOff>69700</xdr:rowOff>
    </xdr:to>
    <xdr:graphicFrame macro="">
      <xdr:nvGraphicFramePr>
        <xdr:cNvPr id="45" name="Chart 10">
          <a:extLst>
            <a:ext uri="{FF2B5EF4-FFF2-40B4-BE49-F238E27FC236}">
              <a16:creationId xmlns:a16="http://schemas.microsoft.com/office/drawing/2014/main" id="{6BF4B5C5-DE1B-C447-B73A-7E4ADE616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308429</xdr:colOff>
      <xdr:row>157</xdr:row>
      <xdr:rowOff>119062</xdr:rowOff>
    </xdr:from>
    <xdr:to>
      <xdr:col>27</xdr:col>
      <xdr:colOff>426358</xdr:colOff>
      <xdr:row>171</xdr:row>
      <xdr:rowOff>127000</xdr:rowOff>
    </xdr:to>
    <xdr:graphicFrame macro="">
      <xdr:nvGraphicFramePr>
        <xdr:cNvPr id="46" name="Chart 9">
          <a:extLst>
            <a:ext uri="{FF2B5EF4-FFF2-40B4-BE49-F238E27FC236}">
              <a16:creationId xmlns:a16="http://schemas.microsoft.com/office/drawing/2014/main" id="{475E62F2-4DC0-9C41-8187-177BF7479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152400</xdr:colOff>
      <xdr:row>202</xdr:row>
      <xdr:rowOff>27061</xdr:rowOff>
    </xdr:from>
    <xdr:to>
      <xdr:col>8</xdr:col>
      <xdr:colOff>355600</xdr:colOff>
      <xdr:row>217</xdr:row>
      <xdr:rowOff>115962</xdr:rowOff>
    </xdr:to>
    <xdr:graphicFrame macro="">
      <xdr:nvGraphicFramePr>
        <xdr:cNvPr id="48" name="Chart 12">
          <a:extLst>
            <a:ext uri="{FF2B5EF4-FFF2-40B4-BE49-F238E27FC236}">
              <a16:creationId xmlns:a16="http://schemas.microsoft.com/office/drawing/2014/main" id="{ABC2571F-D752-0B40-BEC3-251F037BB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13531</xdr:colOff>
      <xdr:row>202</xdr:row>
      <xdr:rowOff>18515</xdr:rowOff>
    </xdr:from>
    <xdr:to>
      <xdr:col>18</xdr:col>
      <xdr:colOff>96988</xdr:colOff>
      <xdr:row>216</xdr:row>
      <xdr:rowOff>133884</xdr:rowOff>
    </xdr:to>
    <xdr:graphicFrame macro="">
      <xdr:nvGraphicFramePr>
        <xdr:cNvPr id="49" name="Chart 13">
          <a:extLst>
            <a:ext uri="{FF2B5EF4-FFF2-40B4-BE49-F238E27FC236}">
              <a16:creationId xmlns:a16="http://schemas.microsoft.com/office/drawing/2014/main" id="{C6E5750C-8485-AB47-839D-55BEC5DE1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195791</xdr:colOff>
      <xdr:row>201</xdr:row>
      <xdr:rowOff>148923</xdr:rowOff>
    </xdr:from>
    <xdr:to>
      <xdr:col>25</xdr:col>
      <xdr:colOff>683834</xdr:colOff>
      <xdr:row>218</xdr:row>
      <xdr:rowOff>23739</xdr:rowOff>
    </xdr:to>
    <xdr:graphicFrame macro="">
      <xdr:nvGraphicFramePr>
        <xdr:cNvPr id="50" name="Chart 14">
          <a:extLst>
            <a:ext uri="{FF2B5EF4-FFF2-40B4-BE49-F238E27FC236}">
              <a16:creationId xmlns:a16="http://schemas.microsoft.com/office/drawing/2014/main" id="{C81E2CC4-76F0-A040-8F85-820393822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855739</xdr:colOff>
      <xdr:row>196</xdr:row>
      <xdr:rowOff>134257</xdr:rowOff>
    </xdr:from>
    <xdr:to>
      <xdr:col>34</xdr:col>
      <xdr:colOff>102810</xdr:colOff>
      <xdr:row>217</xdr:row>
      <xdr:rowOff>0</xdr:rowOff>
    </xdr:to>
    <xdr:graphicFrame macro="">
      <xdr:nvGraphicFramePr>
        <xdr:cNvPr id="51" name="Chart 15">
          <a:extLst>
            <a:ext uri="{FF2B5EF4-FFF2-40B4-BE49-F238E27FC236}">
              <a16:creationId xmlns:a16="http://schemas.microsoft.com/office/drawing/2014/main" id="{E4A71865-E017-FC4A-8DC4-9378C9A31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156027</xdr:colOff>
      <xdr:row>243</xdr:row>
      <xdr:rowOff>90715</xdr:rowOff>
    </xdr:from>
    <xdr:to>
      <xdr:col>10</xdr:col>
      <xdr:colOff>163285</xdr:colOff>
      <xdr:row>259</xdr:row>
      <xdr:rowOff>92528</xdr:rowOff>
    </xdr:to>
    <xdr:graphicFrame macro="">
      <xdr:nvGraphicFramePr>
        <xdr:cNvPr id="62" name="Chart 10">
          <a:extLst>
            <a:ext uri="{FF2B5EF4-FFF2-40B4-BE49-F238E27FC236}">
              <a16:creationId xmlns:a16="http://schemas.microsoft.com/office/drawing/2014/main" id="{9E4E1D11-45E5-974D-B97E-1505B7E2E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471714</xdr:colOff>
      <xdr:row>243</xdr:row>
      <xdr:rowOff>94952</xdr:rowOff>
    </xdr:from>
    <xdr:to>
      <xdr:col>17</xdr:col>
      <xdr:colOff>353785</xdr:colOff>
      <xdr:row>259</xdr:row>
      <xdr:rowOff>161472</xdr:rowOff>
    </xdr:to>
    <xdr:graphicFrame macro="">
      <xdr:nvGraphicFramePr>
        <xdr:cNvPr id="63" name="Chart 11">
          <a:extLst>
            <a:ext uri="{FF2B5EF4-FFF2-40B4-BE49-F238E27FC236}">
              <a16:creationId xmlns:a16="http://schemas.microsoft.com/office/drawing/2014/main" id="{D3A5D782-C29A-DF4E-82E5-636A07763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381000</xdr:colOff>
      <xdr:row>243</xdr:row>
      <xdr:rowOff>108857</xdr:rowOff>
    </xdr:from>
    <xdr:to>
      <xdr:col>26</xdr:col>
      <xdr:colOff>616857</xdr:colOff>
      <xdr:row>260</xdr:row>
      <xdr:rowOff>54429</xdr:rowOff>
    </xdr:to>
    <xdr:graphicFrame macro="">
      <xdr:nvGraphicFramePr>
        <xdr:cNvPr id="64" name="Chart 12">
          <a:extLst>
            <a:ext uri="{FF2B5EF4-FFF2-40B4-BE49-F238E27FC236}">
              <a16:creationId xmlns:a16="http://schemas.microsoft.com/office/drawing/2014/main" id="{2E00F544-717B-2843-B51C-36D4D6BF5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163286</xdr:colOff>
      <xdr:row>291</xdr:row>
      <xdr:rowOff>54429</xdr:rowOff>
    </xdr:from>
    <xdr:to>
      <xdr:col>10</xdr:col>
      <xdr:colOff>199571</xdr:colOff>
      <xdr:row>304</xdr:row>
      <xdr:rowOff>337458</xdr:rowOff>
    </xdr:to>
    <xdr:graphicFrame macro="">
      <xdr:nvGraphicFramePr>
        <xdr:cNvPr id="66" name="Chart 11">
          <a:extLst>
            <a:ext uri="{FF2B5EF4-FFF2-40B4-BE49-F238E27FC236}">
              <a16:creationId xmlns:a16="http://schemas.microsoft.com/office/drawing/2014/main" id="{D72DF1BA-C505-6B48-87FD-2C031DDB9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18144</xdr:colOff>
      <xdr:row>291</xdr:row>
      <xdr:rowOff>36286</xdr:rowOff>
    </xdr:from>
    <xdr:to>
      <xdr:col>20</xdr:col>
      <xdr:colOff>66146</xdr:colOff>
      <xdr:row>304</xdr:row>
      <xdr:rowOff>332015</xdr:rowOff>
    </xdr:to>
    <xdr:graphicFrame macro="">
      <xdr:nvGraphicFramePr>
        <xdr:cNvPr id="67" name="Chart 12">
          <a:extLst>
            <a:ext uri="{FF2B5EF4-FFF2-40B4-BE49-F238E27FC236}">
              <a16:creationId xmlns:a16="http://schemas.microsoft.com/office/drawing/2014/main" id="{15495AFA-7F06-F848-9885-C754BA06E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199571</xdr:colOff>
      <xdr:row>289</xdr:row>
      <xdr:rowOff>79376</xdr:rowOff>
    </xdr:from>
    <xdr:to>
      <xdr:col>26</xdr:col>
      <xdr:colOff>344713</xdr:colOff>
      <xdr:row>304</xdr:row>
      <xdr:rowOff>316065</xdr:rowOff>
    </xdr:to>
    <xdr:graphicFrame macro="">
      <xdr:nvGraphicFramePr>
        <xdr:cNvPr id="68" name="Chart 13">
          <a:extLst>
            <a:ext uri="{FF2B5EF4-FFF2-40B4-BE49-F238E27FC236}">
              <a16:creationId xmlns:a16="http://schemas.microsoft.com/office/drawing/2014/main" id="{8F917AB3-EE46-6B48-B39B-188F921B6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240690</xdr:colOff>
      <xdr:row>117</xdr:row>
      <xdr:rowOff>329369</xdr:rowOff>
    </xdr:from>
    <xdr:to>
      <xdr:col>11</xdr:col>
      <xdr:colOff>13229</xdr:colOff>
      <xdr:row>131</xdr:row>
      <xdr:rowOff>43712</xdr:rowOff>
    </xdr:to>
    <xdr:graphicFrame macro="">
      <xdr:nvGraphicFramePr>
        <xdr:cNvPr id="37" name="Chart 10">
          <a:extLst>
            <a:ext uri="{FF2B5EF4-FFF2-40B4-BE49-F238E27FC236}">
              <a16:creationId xmlns:a16="http://schemas.microsoft.com/office/drawing/2014/main" id="{FC8ED5CB-B51C-4F43-94FF-A35B0AD6E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515938</xdr:colOff>
      <xdr:row>117</xdr:row>
      <xdr:rowOff>284859</xdr:rowOff>
    </xdr:from>
    <xdr:to>
      <xdr:col>20</xdr:col>
      <xdr:colOff>92604</xdr:colOff>
      <xdr:row>131</xdr:row>
      <xdr:rowOff>35608</xdr:rowOff>
    </xdr:to>
    <xdr:graphicFrame macro="">
      <xdr:nvGraphicFramePr>
        <xdr:cNvPr id="38" name="Chart 11">
          <a:extLst>
            <a:ext uri="{FF2B5EF4-FFF2-40B4-BE49-F238E27FC236}">
              <a16:creationId xmlns:a16="http://schemas.microsoft.com/office/drawing/2014/main" id="{A31CAB96-C885-3245-BC38-AED19C43F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xdr:col>
      <xdr:colOff>14111</xdr:colOff>
      <xdr:row>0</xdr:row>
      <xdr:rowOff>39511</xdr:rowOff>
    </xdr:from>
    <xdr:to>
      <xdr:col>3</xdr:col>
      <xdr:colOff>709436</xdr:colOff>
      <xdr:row>1</xdr:row>
      <xdr:rowOff>5644</xdr:rowOff>
    </xdr:to>
    <xdr:pic>
      <xdr:nvPicPr>
        <xdr:cNvPr id="34" name="Image 5" descr="Description : logo_reseau_quadri.jpg">
          <a:extLst>
            <a:ext uri="{FF2B5EF4-FFF2-40B4-BE49-F238E27FC236}">
              <a16:creationId xmlns:a16="http://schemas.microsoft.com/office/drawing/2014/main" id="{39E58411-7180-7448-9FBD-74994DFE6CA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06778" y="39511"/>
          <a:ext cx="1175102"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70</xdr:row>
      <xdr:rowOff>0</xdr:rowOff>
    </xdr:from>
    <xdr:to>
      <xdr:col>7</xdr:col>
      <xdr:colOff>215900</xdr:colOff>
      <xdr:row>84</xdr:row>
      <xdr:rowOff>139700</xdr:rowOff>
    </xdr:to>
    <xdr:graphicFrame macro="">
      <xdr:nvGraphicFramePr>
        <xdr:cNvPr id="64083524" name="Chart 11">
          <a:extLst>
            <a:ext uri="{FF2B5EF4-FFF2-40B4-BE49-F238E27FC236}">
              <a16:creationId xmlns:a16="http://schemas.microsoft.com/office/drawing/2014/main" id="{CB6199E2-F7C7-024C-BA92-25AFCF00D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254000</xdr:colOff>
      <xdr:row>70</xdr:row>
      <xdr:rowOff>25400</xdr:rowOff>
    </xdr:from>
    <xdr:to>
      <xdr:col>17</xdr:col>
      <xdr:colOff>203200</xdr:colOff>
      <xdr:row>84</xdr:row>
      <xdr:rowOff>139700</xdr:rowOff>
    </xdr:to>
    <xdr:graphicFrame macro="">
      <xdr:nvGraphicFramePr>
        <xdr:cNvPr id="64083525" name="Chart 12">
          <a:extLst>
            <a:ext uri="{FF2B5EF4-FFF2-40B4-BE49-F238E27FC236}">
              <a16:creationId xmlns:a16="http://schemas.microsoft.com/office/drawing/2014/main" id="{70E17AE8-BE2D-AC46-92FC-1B4FE702A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228600</xdr:colOff>
      <xdr:row>70</xdr:row>
      <xdr:rowOff>25400</xdr:rowOff>
    </xdr:from>
    <xdr:to>
      <xdr:col>27</xdr:col>
      <xdr:colOff>25400</xdr:colOff>
      <xdr:row>82</xdr:row>
      <xdr:rowOff>139700</xdr:rowOff>
    </xdr:to>
    <xdr:graphicFrame macro="">
      <xdr:nvGraphicFramePr>
        <xdr:cNvPr id="64083526" name="Chart 13">
          <a:extLst>
            <a:ext uri="{FF2B5EF4-FFF2-40B4-BE49-F238E27FC236}">
              <a16:creationId xmlns:a16="http://schemas.microsoft.com/office/drawing/2014/main" id="{4A7326CB-9CBD-4840-833E-29C2E9888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12700</xdr:colOff>
      <xdr:row>6</xdr:row>
      <xdr:rowOff>279400</xdr:rowOff>
    </xdr:from>
    <xdr:to>
      <xdr:col>3</xdr:col>
      <xdr:colOff>708025</xdr:colOff>
      <xdr:row>7</xdr:row>
      <xdr:rowOff>25400</xdr:rowOff>
    </xdr:to>
    <xdr:pic>
      <xdr:nvPicPr>
        <xdr:cNvPr id="64083527" name="Image 8" descr="Description : logo_reseau_quadri.jpg">
          <a:extLst>
            <a:ext uri="{FF2B5EF4-FFF2-40B4-BE49-F238E27FC236}">
              <a16:creationId xmlns:a16="http://schemas.microsoft.com/office/drawing/2014/main" id="{CCBCD726-7950-624D-BB08-13B56E33CF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5000" y="279400"/>
          <a:ext cx="11811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xdr:row>
      <xdr:rowOff>42333</xdr:rowOff>
    </xdr:from>
    <xdr:to>
      <xdr:col>3</xdr:col>
      <xdr:colOff>1394883</xdr:colOff>
      <xdr:row>5</xdr:row>
      <xdr:rowOff>0</xdr:rowOff>
    </xdr:to>
    <mc:AlternateContent xmlns:mc="http://schemas.openxmlformats.org/markup-compatibility/2006" xmlns:a14="http://schemas.microsoft.com/office/drawing/2010/main">
      <mc:Choice Requires="a14">
        <xdr:graphicFrame macro="">
          <xdr:nvGraphicFramePr>
            <xdr:cNvPr id="2" name="CATEGORIE">
              <a:extLst>
                <a:ext uri="{FF2B5EF4-FFF2-40B4-BE49-F238E27FC236}">
                  <a16:creationId xmlns:a16="http://schemas.microsoft.com/office/drawing/2014/main" id="{5BD3F613-3545-2C46-BDFE-93939919A4C3}"/>
                </a:ext>
              </a:extLst>
            </xdr:cNvPr>
            <xdr:cNvGraphicFramePr/>
          </xdr:nvGraphicFramePr>
          <xdr:xfrm>
            <a:off x="0" y="0"/>
            <a:ext cx="0" cy="0"/>
          </xdr:xfrm>
          <a:graphic>
            <a:graphicData uri="http://schemas.microsoft.com/office/drawing/2010/slicer">
              <sle:slicer xmlns:sle="http://schemas.microsoft.com/office/drawing/2010/slicer" name="CATEGORIE"/>
            </a:graphicData>
          </a:graphic>
        </xdr:graphicFrame>
      </mc:Choice>
      <mc:Fallback xmlns="">
        <xdr:sp macro="" textlink="">
          <xdr:nvSpPr>
            <xdr:cNvPr id="0" name=""/>
            <xdr:cNvSpPr>
              <a:spLocks noTextEdit="1"/>
            </xdr:cNvSpPr>
          </xdr:nvSpPr>
          <xdr:spPr>
            <a:xfrm>
              <a:off x="778933" y="306916"/>
              <a:ext cx="1822450" cy="22415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3</xdr:col>
      <xdr:colOff>1428750</xdr:colOff>
      <xdr:row>1</xdr:row>
      <xdr:rowOff>52916</xdr:rowOff>
    </xdr:from>
    <xdr:to>
      <xdr:col>5</xdr:col>
      <xdr:colOff>152400</xdr:colOff>
      <xdr:row>5</xdr:row>
      <xdr:rowOff>42333</xdr:rowOff>
    </xdr:to>
    <mc:AlternateContent xmlns:mc="http://schemas.openxmlformats.org/markup-compatibility/2006" xmlns:a14="http://schemas.microsoft.com/office/drawing/2010/main">
      <mc:Choice Requires="a14">
        <xdr:graphicFrame macro="">
          <xdr:nvGraphicFramePr>
            <xdr:cNvPr id="3" name="SERVICE">
              <a:extLst>
                <a:ext uri="{FF2B5EF4-FFF2-40B4-BE49-F238E27FC236}">
                  <a16:creationId xmlns:a16="http://schemas.microsoft.com/office/drawing/2014/main" id="{522D25E8-0786-2243-8B8A-16252B99AC46}"/>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2635250" y="317499"/>
              <a:ext cx="1824567" cy="22415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5</xdr:col>
      <xdr:colOff>198967</xdr:colOff>
      <xdr:row>1</xdr:row>
      <xdr:rowOff>44449</xdr:rowOff>
    </xdr:from>
    <xdr:to>
      <xdr:col>7</xdr:col>
      <xdr:colOff>148167</xdr:colOff>
      <xdr:row>5</xdr:row>
      <xdr:rowOff>42333</xdr:rowOff>
    </xdr:to>
    <mc:AlternateContent xmlns:mc="http://schemas.openxmlformats.org/markup-compatibility/2006" xmlns:a14="http://schemas.microsoft.com/office/drawing/2010/main">
      <mc:Choice Requires="a14">
        <xdr:graphicFrame macro="">
          <xdr:nvGraphicFramePr>
            <xdr:cNvPr id="4" name="METIER">
              <a:extLst>
                <a:ext uri="{FF2B5EF4-FFF2-40B4-BE49-F238E27FC236}">
                  <a16:creationId xmlns:a16="http://schemas.microsoft.com/office/drawing/2014/main" id="{B317E01C-DE65-934A-A339-F16FF42545BC}"/>
                </a:ext>
              </a:extLst>
            </xdr:cNvPr>
            <xdr:cNvGraphicFramePr/>
          </xdr:nvGraphicFramePr>
          <xdr:xfrm>
            <a:off x="0" y="0"/>
            <a:ext cx="0" cy="0"/>
          </xdr:xfrm>
          <a:graphic>
            <a:graphicData uri="http://schemas.microsoft.com/office/drawing/2010/slicer">
              <sle:slicer xmlns:sle="http://schemas.microsoft.com/office/drawing/2010/slicer" name="METIER"/>
            </a:graphicData>
          </a:graphic>
        </xdr:graphicFrame>
      </mc:Choice>
      <mc:Fallback xmlns="">
        <xdr:sp macro="" textlink="">
          <xdr:nvSpPr>
            <xdr:cNvPr id="0" name=""/>
            <xdr:cNvSpPr>
              <a:spLocks noTextEdit="1"/>
            </xdr:cNvSpPr>
          </xdr:nvSpPr>
          <xdr:spPr>
            <a:xfrm>
              <a:off x="4506384" y="309032"/>
              <a:ext cx="1452033" cy="22415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7</xdr:col>
      <xdr:colOff>205317</xdr:colOff>
      <xdr:row>1</xdr:row>
      <xdr:rowOff>42333</xdr:rowOff>
    </xdr:from>
    <xdr:to>
      <xdr:col>14</xdr:col>
      <xdr:colOff>3704</xdr:colOff>
      <xdr:row>5</xdr:row>
      <xdr:rowOff>21166</xdr:rowOff>
    </xdr:to>
    <mc:AlternateContent xmlns:mc="http://schemas.openxmlformats.org/markup-compatibility/2006" xmlns:a14="http://schemas.microsoft.com/office/drawing/2010/main">
      <mc:Choice Requires="a14">
        <xdr:graphicFrame macro="">
          <xdr:nvGraphicFramePr>
            <xdr:cNvPr id="5" name="EMPLOI">
              <a:extLst>
                <a:ext uri="{FF2B5EF4-FFF2-40B4-BE49-F238E27FC236}">
                  <a16:creationId xmlns:a16="http://schemas.microsoft.com/office/drawing/2014/main" id="{E1A3781B-6F34-4D43-A0E6-95C233DE6EA0}"/>
                </a:ext>
              </a:extLst>
            </xdr:cNvPr>
            <xdr:cNvGraphicFramePr/>
          </xdr:nvGraphicFramePr>
          <xdr:xfrm>
            <a:off x="0" y="0"/>
            <a:ext cx="0" cy="0"/>
          </xdr:xfrm>
          <a:graphic>
            <a:graphicData uri="http://schemas.microsoft.com/office/drawing/2010/slicer">
              <sle:slicer xmlns:sle="http://schemas.microsoft.com/office/drawing/2010/slicer" name="EMPLOI"/>
            </a:graphicData>
          </a:graphic>
        </xdr:graphicFrame>
      </mc:Choice>
      <mc:Fallback xmlns="">
        <xdr:sp macro="" textlink="">
          <xdr:nvSpPr>
            <xdr:cNvPr id="0" name=""/>
            <xdr:cNvSpPr>
              <a:spLocks noTextEdit="1"/>
            </xdr:cNvSpPr>
          </xdr:nvSpPr>
          <xdr:spPr>
            <a:xfrm>
              <a:off x="6015567" y="306916"/>
              <a:ext cx="3333220" cy="22225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14</xdr:col>
      <xdr:colOff>52919</xdr:colOff>
      <xdr:row>1</xdr:row>
      <xdr:rowOff>42333</xdr:rowOff>
    </xdr:from>
    <xdr:to>
      <xdr:col>16</xdr:col>
      <xdr:colOff>438152</xdr:colOff>
      <xdr:row>5</xdr:row>
      <xdr:rowOff>31750</xdr:rowOff>
    </xdr:to>
    <mc:AlternateContent xmlns:mc="http://schemas.openxmlformats.org/markup-compatibility/2006" xmlns:a14="http://schemas.microsoft.com/office/drawing/2010/main">
      <mc:Choice Requires="a14">
        <xdr:graphicFrame macro="">
          <xdr:nvGraphicFramePr>
            <xdr:cNvPr id="6" name="Tranches d'âge Index 1">
              <a:extLst>
                <a:ext uri="{FF2B5EF4-FFF2-40B4-BE49-F238E27FC236}">
                  <a16:creationId xmlns:a16="http://schemas.microsoft.com/office/drawing/2014/main" id="{A07C8E2B-C430-3542-9B48-A758461B3E0F}"/>
                </a:ext>
              </a:extLst>
            </xdr:cNvPr>
            <xdr:cNvGraphicFramePr/>
          </xdr:nvGraphicFramePr>
          <xdr:xfrm>
            <a:off x="0" y="0"/>
            <a:ext cx="0" cy="0"/>
          </xdr:xfrm>
          <a:graphic>
            <a:graphicData uri="http://schemas.microsoft.com/office/drawing/2010/slicer">
              <sle:slicer xmlns:sle="http://schemas.microsoft.com/office/drawing/2010/slicer" name="Tranches d'âge Index 1"/>
            </a:graphicData>
          </a:graphic>
        </xdr:graphicFrame>
      </mc:Choice>
      <mc:Fallback xmlns="">
        <xdr:sp macro="" textlink="">
          <xdr:nvSpPr>
            <xdr:cNvPr id="0" name=""/>
            <xdr:cNvSpPr>
              <a:spLocks noTextEdit="1"/>
            </xdr:cNvSpPr>
          </xdr:nvSpPr>
          <xdr:spPr>
            <a:xfrm>
              <a:off x="9398002" y="306916"/>
              <a:ext cx="1824567" cy="22415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16</xdr:col>
      <xdr:colOff>476250</xdr:colOff>
      <xdr:row>1</xdr:row>
      <xdr:rowOff>42334</xdr:rowOff>
    </xdr:from>
    <xdr:to>
      <xdr:col>23</xdr:col>
      <xdr:colOff>878417</xdr:colOff>
      <xdr:row>5</xdr:row>
      <xdr:rowOff>21166</xdr:rowOff>
    </xdr:to>
    <mc:AlternateContent xmlns:mc="http://schemas.openxmlformats.org/markup-compatibility/2006" xmlns:a14="http://schemas.microsoft.com/office/drawing/2010/main">
      <mc:Choice Requires="a14">
        <xdr:graphicFrame macro="">
          <xdr:nvGraphicFramePr>
            <xdr:cNvPr id="8" name="Tranche ancienneté 1">
              <a:extLst>
                <a:ext uri="{FF2B5EF4-FFF2-40B4-BE49-F238E27FC236}">
                  <a16:creationId xmlns:a16="http://schemas.microsoft.com/office/drawing/2014/main" id="{CF66687A-1C72-A844-ACCC-5BD8A03C52CA}"/>
                </a:ext>
              </a:extLst>
            </xdr:cNvPr>
            <xdr:cNvGraphicFramePr/>
          </xdr:nvGraphicFramePr>
          <xdr:xfrm>
            <a:off x="0" y="0"/>
            <a:ext cx="0" cy="0"/>
          </xdr:xfrm>
          <a:graphic>
            <a:graphicData uri="http://schemas.microsoft.com/office/drawing/2010/slicer">
              <sle:slicer xmlns:sle="http://schemas.microsoft.com/office/drawing/2010/slicer" name="Tranche ancienneté 1"/>
            </a:graphicData>
          </a:graphic>
        </xdr:graphicFrame>
      </mc:Choice>
      <mc:Fallback xmlns="">
        <xdr:sp macro="" textlink="">
          <xdr:nvSpPr>
            <xdr:cNvPr id="0" name=""/>
            <xdr:cNvSpPr>
              <a:spLocks noTextEdit="1"/>
            </xdr:cNvSpPr>
          </xdr:nvSpPr>
          <xdr:spPr>
            <a:xfrm>
              <a:off x="11260667" y="306917"/>
              <a:ext cx="1778000" cy="224155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23</xdr:col>
      <xdr:colOff>908050</xdr:colOff>
      <xdr:row>1</xdr:row>
      <xdr:rowOff>74082</xdr:rowOff>
    </xdr:from>
    <xdr:to>
      <xdr:col>24</xdr:col>
      <xdr:colOff>349250</xdr:colOff>
      <xdr:row>5</xdr:row>
      <xdr:rowOff>10583</xdr:rowOff>
    </xdr:to>
    <mc:AlternateContent xmlns:mc="http://schemas.openxmlformats.org/markup-compatibility/2006" xmlns:a14="http://schemas.microsoft.com/office/drawing/2010/main">
      <mc:Choice Requires="a14">
        <xdr:graphicFrame macro="">
          <xdr:nvGraphicFramePr>
            <xdr:cNvPr id="9" name="DUREE DU TRAVAIL">
              <a:extLst>
                <a:ext uri="{FF2B5EF4-FFF2-40B4-BE49-F238E27FC236}">
                  <a16:creationId xmlns:a16="http://schemas.microsoft.com/office/drawing/2014/main" id="{7ADD3FA4-1FD5-594F-809E-6F4C30676615}"/>
                </a:ext>
              </a:extLst>
            </xdr:cNvPr>
            <xdr:cNvGraphicFramePr/>
          </xdr:nvGraphicFramePr>
          <xdr:xfrm>
            <a:off x="0" y="0"/>
            <a:ext cx="0" cy="0"/>
          </xdr:xfrm>
          <a:graphic>
            <a:graphicData uri="http://schemas.microsoft.com/office/drawing/2010/slicer">
              <sle:slicer xmlns:sle="http://schemas.microsoft.com/office/drawing/2010/slicer" name="DUREE DU TRAVAIL"/>
            </a:graphicData>
          </a:graphic>
        </xdr:graphicFrame>
      </mc:Choice>
      <mc:Fallback xmlns="">
        <xdr:sp macro="" textlink="">
          <xdr:nvSpPr>
            <xdr:cNvPr id="0" name=""/>
            <xdr:cNvSpPr>
              <a:spLocks noTextEdit="1"/>
            </xdr:cNvSpPr>
          </xdr:nvSpPr>
          <xdr:spPr>
            <a:xfrm>
              <a:off x="13068300" y="338665"/>
              <a:ext cx="1579033" cy="22320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xdr:from>
      <xdr:col>3</xdr:col>
      <xdr:colOff>165100</xdr:colOff>
      <xdr:row>119</xdr:row>
      <xdr:rowOff>0</xdr:rowOff>
    </xdr:from>
    <xdr:to>
      <xdr:col>9</xdr:col>
      <xdr:colOff>63500</xdr:colOff>
      <xdr:row>135</xdr:row>
      <xdr:rowOff>0</xdr:rowOff>
    </xdr:to>
    <xdr:graphicFrame macro="">
      <xdr:nvGraphicFramePr>
        <xdr:cNvPr id="14" name="Chart 12">
          <a:extLst>
            <a:ext uri="{FF2B5EF4-FFF2-40B4-BE49-F238E27FC236}">
              <a16:creationId xmlns:a16="http://schemas.microsoft.com/office/drawing/2014/main" id="{9D4DA10E-8959-C742-B5D7-73523AC0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119</xdr:row>
      <xdr:rowOff>47625</xdr:rowOff>
    </xdr:from>
    <xdr:to>
      <xdr:col>20</xdr:col>
      <xdr:colOff>0</xdr:colOff>
      <xdr:row>135</xdr:row>
      <xdr:rowOff>0</xdr:rowOff>
    </xdr:to>
    <xdr:graphicFrame macro="">
      <xdr:nvGraphicFramePr>
        <xdr:cNvPr id="15" name="Chart 13">
          <a:extLst>
            <a:ext uri="{FF2B5EF4-FFF2-40B4-BE49-F238E27FC236}">
              <a16:creationId xmlns:a16="http://schemas.microsoft.com/office/drawing/2014/main" id="{35CEC245-5B1D-3A41-9772-3604114C4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119</xdr:row>
      <xdr:rowOff>63501</xdr:rowOff>
    </xdr:from>
    <xdr:to>
      <xdr:col>27</xdr:col>
      <xdr:colOff>431800</xdr:colOff>
      <xdr:row>134</xdr:row>
      <xdr:rowOff>142875</xdr:rowOff>
    </xdr:to>
    <xdr:graphicFrame macro="">
      <xdr:nvGraphicFramePr>
        <xdr:cNvPr id="16" name="Chart 14">
          <a:extLst>
            <a:ext uri="{FF2B5EF4-FFF2-40B4-BE49-F238E27FC236}">
              <a16:creationId xmlns:a16="http://schemas.microsoft.com/office/drawing/2014/main" id="{15C3D466-FA95-9441-8155-A8BC71365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1201208</xdr:colOff>
      <xdr:row>110</xdr:row>
      <xdr:rowOff>30693</xdr:rowOff>
    </xdr:from>
    <xdr:to>
      <xdr:col>39</xdr:col>
      <xdr:colOff>10583</xdr:colOff>
      <xdr:row>135</xdr:row>
      <xdr:rowOff>15876</xdr:rowOff>
    </xdr:to>
    <xdr:graphicFrame macro="">
      <xdr:nvGraphicFramePr>
        <xdr:cNvPr id="17" name="Chart 15">
          <a:extLst>
            <a:ext uri="{FF2B5EF4-FFF2-40B4-BE49-F238E27FC236}">
              <a16:creationId xmlns:a16="http://schemas.microsoft.com/office/drawing/2014/main" id="{A04745C7-EC5C-C441-AB07-B2EA6877D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52918</xdr:colOff>
      <xdr:row>163</xdr:row>
      <xdr:rowOff>129593</xdr:rowOff>
    </xdr:from>
    <xdr:to>
      <xdr:col>9</xdr:col>
      <xdr:colOff>74085</xdr:colOff>
      <xdr:row>178</xdr:row>
      <xdr:rowOff>117476</xdr:rowOff>
    </xdr:to>
    <xdr:graphicFrame macro="">
      <xdr:nvGraphicFramePr>
        <xdr:cNvPr id="19" name="Chart 12">
          <a:extLst>
            <a:ext uri="{FF2B5EF4-FFF2-40B4-BE49-F238E27FC236}">
              <a16:creationId xmlns:a16="http://schemas.microsoft.com/office/drawing/2014/main" id="{BC426205-06F6-FE4F-916F-1ACD8FDF9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163</xdr:row>
      <xdr:rowOff>77755</xdr:rowOff>
    </xdr:from>
    <xdr:to>
      <xdr:col>19</xdr:col>
      <xdr:colOff>25400</xdr:colOff>
      <xdr:row>179</xdr:row>
      <xdr:rowOff>101600</xdr:rowOff>
    </xdr:to>
    <xdr:graphicFrame macro="">
      <xdr:nvGraphicFramePr>
        <xdr:cNvPr id="20" name="Chart 13">
          <a:extLst>
            <a:ext uri="{FF2B5EF4-FFF2-40B4-BE49-F238E27FC236}">
              <a16:creationId xmlns:a16="http://schemas.microsoft.com/office/drawing/2014/main" id="{A9CE2A72-DC02-FF44-BF8B-EAA71ED38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47625</xdr:colOff>
      <xdr:row>163</xdr:row>
      <xdr:rowOff>77755</xdr:rowOff>
    </xdr:from>
    <xdr:to>
      <xdr:col>27</xdr:col>
      <xdr:colOff>682625</xdr:colOff>
      <xdr:row>179</xdr:row>
      <xdr:rowOff>95250</xdr:rowOff>
    </xdr:to>
    <xdr:graphicFrame macro="">
      <xdr:nvGraphicFramePr>
        <xdr:cNvPr id="21" name="Chart 14">
          <a:extLst>
            <a:ext uri="{FF2B5EF4-FFF2-40B4-BE49-F238E27FC236}">
              <a16:creationId xmlns:a16="http://schemas.microsoft.com/office/drawing/2014/main" id="{A302AA93-BE3F-5741-9E2E-C7F7ABCD2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169333</xdr:colOff>
      <xdr:row>222</xdr:row>
      <xdr:rowOff>42333</xdr:rowOff>
    </xdr:from>
    <xdr:to>
      <xdr:col>8</xdr:col>
      <xdr:colOff>82550</xdr:colOff>
      <xdr:row>236</xdr:row>
      <xdr:rowOff>1</xdr:rowOff>
    </xdr:to>
    <xdr:graphicFrame macro="">
      <xdr:nvGraphicFramePr>
        <xdr:cNvPr id="24" name="Chart 11">
          <a:extLst>
            <a:ext uri="{FF2B5EF4-FFF2-40B4-BE49-F238E27FC236}">
              <a16:creationId xmlns:a16="http://schemas.microsoft.com/office/drawing/2014/main" id="{402AA65C-5285-9943-9D34-F1B113A99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114300</xdr:colOff>
      <xdr:row>222</xdr:row>
      <xdr:rowOff>84667</xdr:rowOff>
    </xdr:from>
    <xdr:to>
      <xdr:col>21</xdr:col>
      <xdr:colOff>2117</xdr:colOff>
      <xdr:row>236</xdr:row>
      <xdr:rowOff>12701</xdr:rowOff>
    </xdr:to>
    <xdr:graphicFrame macro="">
      <xdr:nvGraphicFramePr>
        <xdr:cNvPr id="25" name="Chart 12">
          <a:extLst>
            <a:ext uri="{FF2B5EF4-FFF2-40B4-BE49-F238E27FC236}">
              <a16:creationId xmlns:a16="http://schemas.microsoft.com/office/drawing/2014/main" id="{7E804A14-1235-D74E-99B2-F530FAF81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8467</xdr:colOff>
      <xdr:row>222</xdr:row>
      <xdr:rowOff>105834</xdr:rowOff>
    </xdr:from>
    <xdr:to>
      <xdr:col>27</xdr:col>
      <xdr:colOff>233265</xdr:colOff>
      <xdr:row>236</xdr:row>
      <xdr:rowOff>10583</xdr:rowOff>
    </xdr:to>
    <xdr:graphicFrame macro="">
      <xdr:nvGraphicFramePr>
        <xdr:cNvPr id="26" name="Chart 13">
          <a:extLst>
            <a:ext uri="{FF2B5EF4-FFF2-40B4-BE49-F238E27FC236}">
              <a16:creationId xmlns:a16="http://schemas.microsoft.com/office/drawing/2014/main" id="{941F03A5-E553-FF44-827B-6CBEEEAC1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10583</xdr:colOff>
      <xdr:row>219</xdr:row>
      <xdr:rowOff>1</xdr:rowOff>
    </xdr:from>
    <xdr:to>
      <xdr:col>35</xdr:col>
      <xdr:colOff>571499</xdr:colOff>
      <xdr:row>238</xdr:row>
      <xdr:rowOff>433917</xdr:rowOff>
    </xdr:to>
    <xdr:graphicFrame macro="">
      <xdr:nvGraphicFramePr>
        <xdr:cNvPr id="27" name="Chart 14">
          <a:extLst>
            <a:ext uri="{FF2B5EF4-FFF2-40B4-BE49-F238E27FC236}">
              <a16:creationId xmlns:a16="http://schemas.microsoft.com/office/drawing/2014/main" id="{C74A5641-DCED-9F46-B453-525A1694A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529167</xdr:colOff>
      <xdr:row>224</xdr:row>
      <xdr:rowOff>12959</xdr:rowOff>
    </xdr:from>
    <xdr:to>
      <xdr:col>48</xdr:col>
      <xdr:colOff>622041</xdr:colOff>
      <xdr:row>238</xdr:row>
      <xdr:rowOff>433915</xdr:rowOff>
    </xdr:to>
    <xdr:graphicFrame macro="">
      <xdr:nvGraphicFramePr>
        <xdr:cNvPr id="28" name="Graphique 1">
          <a:extLst>
            <a:ext uri="{FF2B5EF4-FFF2-40B4-BE49-F238E27FC236}">
              <a16:creationId xmlns:a16="http://schemas.microsoft.com/office/drawing/2014/main" id="{AE8104F0-90FE-764E-9025-0DBEBE475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248</xdr:row>
      <xdr:rowOff>25400</xdr:rowOff>
    </xdr:from>
    <xdr:to>
      <xdr:col>24</xdr:col>
      <xdr:colOff>38100</xdr:colOff>
      <xdr:row>259</xdr:row>
      <xdr:rowOff>0</xdr:rowOff>
    </xdr:to>
    <xdr:sp macro="" textlink="">
      <xdr:nvSpPr>
        <xdr:cNvPr id="30" name="ZoneTexte 29">
          <a:extLst>
            <a:ext uri="{FF2B5EF4-FFF2-40B4-BE49-F238E27FC236}">
              <a16:creationId xmlns:a16="http://schemas.microsoft.com/office/drawing/2014/main" id="{B9380BB5-7584-3242-9D15-2F9B25F50EEA}"/>
            </a:ext>
          </a:extLst>
        </xdr:cNvPr>
        <xdr:cNvSpPr txBox="1"/>
      </xdr:nvSpPr>
      <xdr:spPr>
        <a:xfrm>
          <a:off x="6057900" y="520700"/>
          <a:ext cx="12420600"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a:solidFill>
                <a:schemeClr val="tx1"/>
              </a:solidFill>
              <a:effectLst/>
              <a:latin typeface="Ubuntu" panose="020B0504030602030204" pitchFamily="34" charset="0"/>
              <a:ea typeface="+mn-ea"/>
              <a:cs typeface="+mn-cs"/>
            </a:rPr>
            <a:t>Pour une analyse aprofondie il s’agit de regarder : pour chaque niveau de diplôme, l’évolution femmes-hommes : </a:t>
          </a:r>
        </a:p>
        <a:p>
          <a:pPr lvl="0"/>
          <a:r>
            <a:rPr lang="fr-FR" sz="1100" b="0">
              <a:solidFill>
                <a:schemeClr val="tx1"/>
              </a:solidFill>
              <a:effectLst/>
              <a:latin typeface="Ubuntu" panose="020B0504030602030204" pitchFamily="34" charset="0"/>
              <a:ea typeface="+mn-ea"/>
              <a:cs typeface="+mn-cs"/>
            </a:rPr>
            <a:t>- de la rémunération en fonction de l’âge ;</a:t>
          </a:r>
        </a:p>
        <a:p>
          <a:pPr lvl="0"/>
          <a:r>
            <a:rPr lang="fr-FR" sz="1100" b="0">
              <a:solidFill>
                <a:schemeClr val="tx1"/>
              </a:solidFill>
              <a:effectLst/>
              <a:latin typeface="Ubuntu" panose="020B0504030602030204" pitchFamily="34" charset="0"/>
              <a:ea typeface="+mn-ea"/>
              <a:cs typeface="+mn-cs"/>
            </a:rPr>
            <a:t>- de la classification en fonction de l’âge.</a:t>
          </a:r>
        </a:p>
        <a:p>
          <a:pPr marL="0" marR="0" lvl="0" indent="0" defTabSz="914400" eaLnBrk="1" fontAlgn="auto" latinLnBrk="0" hangingPunct="1">
            <a:lnSpc>
              <a:spcPct val="100000"/>
            </a:lnSpc>
            <a:spcBef>
              <a:spcPts val="0"/>
            </a:spcBef>
            <a:spcAft>
              <a:spcPts val="0"/>
            </a:spcAft>
            <a:buClrTx/>
            <a:buSzTx/>
            <a:buFontTx/>
            <a:buNone/>
            <a:tabLst/>
            <a:defRPr/>
          </a:pPr>
          <a:r>
            <a:rPr lang="fr-FR" sz="1100" b="0">
              <a:solidFill>
                <a:schemeClr val="tx1"/>
              </a:solidFill>
              <a:effectLst/>
              <a:latin typeface="Ubuntu" panose="020B0504030602030204" pitchFamily="34" charset="0"/>
              <a:ea typeface="+mn-ea"/>
              <a:cs typeface="+mn-cs"/>
            </a:rPr>
            <a:t>Cela correspond à 14 graphiques différents.</a:t>
          </a:r>
        </a:p>
        <a:p>
          <a:pPr marL="0" marR="0" lvl="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effectLst/>
            <a:latin typeface="Ubuntu" panose="020B0504030602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solidFill>
                <a:schemeClr val="accent5"/>
              </a:solidFill>
              <a:effectLst/>
              <a:latin typeface="Ubuntu" panose="020B0504030602030204" pitchFamily="34" charset="0"/>
              <a:ea typeface="+mn-ea"/>
              <a:cs typeface="+mn-cs"/>
            </a:rPr>
            <a:t>Içi,vous avez l’évolution des femmes et des hommes, par âge et rémunération fiscale brute, tous niveaux de diplôme confondus </a:t>
          </a:r>
        </a:p>
        <a:p>
          <a:endParaRPr lang="fr-FR" sz="1100">
            <a:latin typeface="Ubuntu" panose="020B0504030602030204" pitchFamily="34" charset="0"/>
          </a:endParaRPr>
        </a:p>
      </xdr:txBody>
    </xdr:sp>
    <xdr:clientData/>
  </xdr:twoCellAnchor>
  <xdr:twoCellAnchor>
    <xdr:from>
      <xdr:col>2</xdr:col>
      <xdr:colOff>171450</xdr:colOff>
      <xdr:row>30</xdr:row>
      <xdr:rowOff>167216</xdr:rowOff>
    </xdr:from>
    <xdr:to>
      <xdr:col>7</xdr:col>
      <xdr:colOff>323850</xdr:colOff>
      <xdr:row>45</xdr:row>
      <xdr:rowOff>78316</xdr:rowOff>
    </xdr:to>
    <xdr:graphicFrame macro="">
      <xdr:nvGraphicFramePr>
        <xdr:cNvPr id="32" name="Chart 9">
          <a:extLst>
            <a:ext uri="{FF2B5EF4-FFF2-40B4-BE49-F238E27FC236}">
              <a16:creationId xmlns:a16="http://schemas.microsoft.com/office/drawing/2014/main" id="{311EA6A9-B721-A746-A5D4-60F724E93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323591</xdr:colOff>
      <xdr:row>31</xdr:row>
      <xdr:rowOff>5615</xdr:rowOff>
    </xdr:from>
    <xdr:to>
      <xdr:col>22</xdr:col>
      <xdr:colOff>77755</xdr:colOff>
      <xdr:row>45</xdr:row>
      <xdr:rowOff>90714</xdr:rowOff>
    </xdr:to>
    <xdr:graphicFrame macro="">
      <xdr:nvGraphicFramePr>
        <xdr:cNvPr id="33" name="Chart 10">
          <a:extLst>
            <a:ext uri="{FF2B5EF4-FFF2-40B4-BE49-F238E27FC236}">
              <a16:creationId xmlns:a16="http://schemas.microsoft.com/office/drawing/2014/main" id="{9AC8EAA6-97A6-BB47-9946-B375DD005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42334</xdr:colOff>
      <xdr:row>259</xdr:row>
      <xdr:rowOff>1</xdr:rowOff>
    </xdr:from>
    <xdr:to>
      <xdr:col>27</xdr:col>
      <xdr:colOff>613834</xdr:colOff>
      <xdr:row>307</xdr:row>
      <xdr:rowOff>63500</xdr:rowOff>
    </xdr:to>
    <xdr:graphicFrame macro="">
      <xdr:nvGraphicFramePr>
        <xdr:cNvPr id="11" name="Graphique 10">
          <a:extLst>
            <a:ext uri="{FF2B5EF4-FFF2-40B4-BE49-F238E27FC236}">
              <a16:creationId xmlns:a16="http://schemas.microsoft.com/office/drawing/2014/main" id="{D17F5A0B-F835-AD4F-8733-9F41B3E55B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xdr:col>
      <xdr:colOff>25400</xdr:colOff>
      <xdr:row>0</xdr:row>
      <xdr:rowOff>12700</xdr:rowOff>
    </xdr:from>
    <xdr:to>
      <xdr:col>3</xdr:col>
      <xdr:colOff>720725</xdr:colOff>
      <xdr:row>1</xdr:row>
      <xdr:rowOff>0</xdr:rowOff>
    </xdr:to>
    <xdr:pic>
      <xdr:nvPicPr>
        <xdr:cNvPr id="34" name="Image 5" descr="Description : logo_reseau_quadri.jpg">
          <a:extLst>
            <a:ext uri="{FF2B5EF4-FFF2-40B4-BE49-F238E27FC236}">
              <a16:creationId xmlns:a16="http://schemas.microsoft.com/office/drawing/2014/main" id="{C94E4B92-2469-CB42-9C5C-930B1B339BB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62000" y="12700"/>
          <a:ext cx="1165225"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63500</xdr:colOff>
      <xdr:row>34</xdr:row>
      <xdr:rowOff>165100</xdr:rowOff>
    </xdr:from>
    <xdr:to>
      <xdr:col>7</xdr:col>
      <xdr:colOff>863600</xdr:colOff>
      <xdr:row>47</xdr:row>
      <xdr:rowOff>88900</xdr:rowOff>
    </xdr:to>
    <xdr:graphicFrame macro="">
      <xdr:nvGraphicFramePr>
        <xdr:cNvPr id="64104968" name="Chart 11">
          <a:extLst>
            <a:ext uri="{FF2B5EF4-FFF2-40B4-BE49-F238E27FC236}">
              <a16:creationId xmlns:a16="http://schemas.microsoft.com/office/drawing/2014/main" id="{807789AC-6619-B745-84E1-56C3BE12C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330200</xdr:colOff>
      <xdr:row>35</xdr:row>
      <xdr:rowOff>12700</xdr:rowOff>
    </xdr:from>
    <xdr:to>
      <xdr:col>16</xdr:col>
      <xdr:colOff>127000</xdr:colOff>
      <xdr:row>49</xdr:row>
      <xdr:rowOff>0</xdr:rowOff>
    </xdr:to>
    <xdr:graphicFrame macro="">
      <xdr:nvGraphicFramePr>
        <xdr:cNvPr id="64104969" name="Chart 12">
          <a:extLst>
            <a:ext uri="{FF2B5EF4-FFF2-40B4-BE49-F238E27FC236}">
              <a16:creationId xmlns:a16="http://schemas.microsoft.com/office/drawing/2014/main" id="{D5D9C95E-A001-484A-8390-B02C61CB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33</xdr:row>
      <xdr:rowOff>12700</xdr:rowOff>
    </xdr:from>
    <xdr:to>
      <xdr:col>22</xdr:col>
      <xdr:colOff>12700</xdr:colOff>
      <xdr:row>48</xdr:row>
      <xdr:rowOff>127000</xdr:rowOff>
    </xdr:to>
    <xdr:graphicFrame macro="">
      <xdr:nvGraphicFramePr>
        <xdr:cNvPr id="64104970" name="Chart 13">
          <a:extLst>
            <a:ext uri="{FF2B5EF4-FFF2-40B4-BE49-F238E27FC236}">
              <a16:creationId xmlns:a16="http://schemas.microsoft.com/office/drawing/2014/main" id="{5C91250D-77C8-BF46-97E4-8C3986E47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12700</xdr:colOff>
      <xdr:row>14</xdr:row>
      <xdr:rowOff>355600</xdr:rowOff>
    </xdr:from>
    <xdr:to>
      <xdr:col>3</xdr:col>
      <xdr:colOff>708025</xdr:colOff>
      <xdr:row>15</xdr:row>
      <xdr:rowOff>38101</xdr:rowOff>
    </xdr:to>
    <xdr:pic>
      <xdr:nvPicPr>
        <xdr:cNvPr id="64104971" name="Image 8" descr="Description : logo_reseau_quadri.jpg">
          <a:extLst>
            <a:ext uri="{FF2B5EF4-FFF2-40B4-BE49-F238E27FC236}">
              <a16:creationId xmlns:a16="http://schemas.microsoft.com/office/drawing/2014/main" id="{F5E63E38-44FD-2B4B-A3C9-A198EDD26E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0400" y="355600"/>
          <a:ext cx="1181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12700</xdr:colOff>
      <xdr:row>76</xdr:row>
      <xdr:rowOff>165100</xdr:rowOff>
    </xdr:from>
    <xdr:to>
      <xdr:col>8</xdr:col>
      <xdr:colOff>220134</xdr:colOff>
      <xdr:row>89</xdr:row>
      <xdr:rowOff>114300</xdr:rowOff>
    </xdr:to>
    <xdr:graphicFrame macro="">
      <xdr:nvGraphicFramePr>
        <xdr:cNvPr id="15" name="Chart 12">
          <a:extLst>
            <a:ext uri="{FF2B5EF4-FFF2-40B4-BE49-F238E27FC236}">
              <a16:creationId xmlns:a16="http://schemas.microsoft.com/office/drawing/2014/main" id="{B7A7A8C0-F5BC-C04E-877C-797229C0E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285044</xdr:colOff>
      <xdr:row>75</xdr:row>
      <xdr:rowOff>152399</xdr:rowOff>
    </xdr:from>
    <xdr:to>
      <xdr:col>16</xdr:col>
      <xdr:colOff>87489</xdr:colOff>
      <xdr:row>89</xdr:row>
      <xdr:rowOff>132644</xdr:rowOff>
    </xdr:to>
    <xdr:graphicFrame macro="">
      <xdr:nvGraphicFramePr>
        <xdr:cNvPr id="16" name="Chart 13">
          <a:extLst>
            <a:ext uri="{FF2B5EF4-FFF2-40B4-BE49-F238E27FC236}">
              <a16:creationId xmlns:a16="http://schemas.microsoft.com/office/drawing/2014/main" id="{F4982AB5-1D8A-0346-88D2-1995FD2B1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76</xdr:row>
      <xdr:rowOff>115711</xdr:rowOff>
    </xdr:from>
    <xdr:to>
      <xdr:col>23</xdr:col>
      <xdr:colOff>0</xdr:colOff>
      <xdr:row>89</xdr:row>
      <xdr:rowOff>115711</xdr:rowOff>
    </xdr:to>
    <xdr:graphicFrame macro="">
      <xdr:nvGraphicFramePr>
        <xdr:cNvPr id="17" name="Chart 14">
          <a:extLst>
            <a:ext uri="{FF2B5EF4-FFF2-40B4-BE49-F238E27FC236}">
              <a16:creationId xmlns:a16="http://schemas.microsoft.com/office/drawing/2014/main" id="{84C62802-E9C9-4042-84B4-EBE257B66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88899</xdr:colOff>
      <xdr:row>114</xdr:row>
      <xdr:rowOff>152400</xdr:rowOff>
    </xdr:from>
    <xdr:to>
      <xdr:col>7</xdr:col>
      <xdr:colOff>620888</xdr:colOff>
      <xdr:row>131</xdr:row>
      <xdr:rowOff>18143</xdr:rowOff>
    </xdr:to>
    <xdr:graphicFrame macro="">
      <xdr:nvGraphicFramePr>
        <xdr:cNvPr id="19" name="Chart 11">
          <a:extLst>
            <a:ext uri="{FF2B5EF4-FFF2-40B4-BE49-F238E27FC236}">
              <a16:creationId xmlns:a16="http://schemas.microsoft.com/office/drawing/2014/main" id="{89F090D2-7544-BE4C-BABA-F6BAC2E27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98779</xdr:colOff>
      <xdr:row>114</xdr:row>
      <xdr:rowOff>38101</xdr:rowOff>
    </xdr:from>
    <xdr:to>
      <xdr:col>16</xdr:col>
      <xdr:colOff>1</xdr:colOff>
      <xdr:row>131</xdr:row>
      <xdr:rowOff>1</xdr:rowOff>
    </xdr:to>
    <xdr:graphicFrame macro="">
      <xdr:nvGraphicFramePr>
        <xdr:cNvPr id="20" name="Chart 12">
          <a:extLst>
            <a:ext uri="{FF2B5EF4-FFF2-40B4-BE49-F238E27FC236}">
              <a16:creationId xmlns:a16="http://schemas.microsoft.com/office/drawing/2014/main" id="{7CF37561-371D-D244-B2EF-6E57A23B4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352777</xdr:colOff>
      <xdr:row>114</xdr:row>
      <xdr:rowOff>149576</xdr:rowOff>
    </xdr:from>
    <xdr:to>
      <xdr:col>22</xdr:col>
      <xdr:colOff>84667</xdr:colOff>
      <xdr:row>131</xdr:row>
      <xdr:rowOff>18143</xdr:rowOff>
    </xdr:to>
    <xdr:graphicFrame macro="">
      <xdr:nvGraphicFramePr>
        <xdr:cNvPr id="21" name="Chart 13">
          <a:extLst>
            <a:ext uri="{FF2B5EF4-FFF2-40B4-BE49-F238E27FC236}">
              <a16:creationId xmlns:a16="http://schemas.microsoft.com/office/drawing/2014/main" id="{CEB6155F-55BE-3D46-AFB2-A2787C75B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165100</xdr:colOff>
      <xdr:row>158</xdr:row>
      <xdr:rowOff>100189</xdr:rowOff>
    </xdr:from>
    <xdr:to>
      <xdr:col>6</xdr:col>
      <xdr:colOff>903110</xdr:colOff>
      <xdr:row>172</xdr:row>
      <xdr:rowOff>127000</xdr:rowOff>
    </xdr:to>
    <xdr:graphicFrame macro="">
      <xdr:nvGraphicFramePr>
        <xdr:cNvPr id="23" name="Chart 11">
          <a:extLst>
            <a:ext uri="{FF2B5EF4-FFF2-40B4-BE49-F238E27FC236}">
              <a16:creationId xmlns:a16="http://schemas.microsoft.com/office/drawing/2014/main" id="{12CD22E0-2FD5-F84B-BD1A-D0CD5257F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32253</xdr:colOff>
      <xdr:row>158</xdr:row>
      <xdr:rowOff>153206</xdr:rowOff>
    </xdr:from>
    <xdr:to>
      <xdr:col>14</xdr:col>
      <xdr:colOff>935364</xdr:colOff>
      <xdr:row>172</xdr:row>
      <xdr:rowOff>116317</xdr:rowOff>
    </xdr:to>
    <xdr:graphicFrame macro="">
      <xdr:nvGraphicFramePr>
        <xdr:cNvPr id="24" name="Chart 12">
          <a:extLst>
            <a:ext uri="{FF2B5EF4-FFF2-40B4-BE49-F238E27FC236}">
              <a16:creationId xmlns:a16="http://schemas.microsoft.com/office/drawing/2014/main" id="{FFD65C17-FA43-EB44-A8EC-B33C28427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1</xdr:colOff>
      <xdr:row>159</xdr:row>
      <xdr:rowOff>0</xdr:rowOff>
    </xdr:from>
    <xdr:to>
      <xdr:col>22</xdr:col>
      <xdr:colOff>98778</xdr:colOff>
      <xdr:row>172</xdr:row>
      <xdr:rowOff>112889</xdr:rowOff>
    </xdr:to>
    <xdr:graphicFrame macro="">
      <xdr:nvGraphicFramePr>
        <xdr:cNvPr id="25" name="Chart 13">
          <a:extLst>
            <a:ext uri="{FF2B5EF4-FFF2-40B4-BE49-F238E27FC236}">
              <a16:creationId xmlns:a16="http://schemas.microsoft.com/office/drawing/2014/main" id="{0277BAE4-4EB3-674B-ADFB-7E4C44777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46566</xdr:colOff>
      <xdr:row>1</xdr:row>
      <xdr:rowOff>59266</xdr:rowOff>
    </xdr:from>
    <xdr:to>
      <xdr:col>3</xdr:col>
      <xdr:colOff>1395588</xdr:colOff>
      <xdr:row>13</xdr:row>
      <xdr:rowOff>11641</xdr:rowOff>
    </xdr:to>
    <mc:AlternateContent xmlns:mc="http://schemas.openxmlformats.org/markup-compatibility/2006" xmlns:a14="http://schemas.microsoft.com/office/drawing/2010/main">
      <mc:Choice Requires="a14">
        <xdr:graphicFrame macro="">
          <xdr:nvGraphicFramePr>
            <xdr:cNvPr id="2" name="CATEGORIE 2">
              <a:extLst>
                <a:ext uri="{FF2B5EF4-FFF2-40B4-BE49-F238E27FC236}">
                  <a16:creationId xmlns:a16="http://schemas.microsoft.com/office/drawing/2014/main" id="{16D3B4A5-1C8D-1548-84C3-F73AF8C9D515}"/>
                </a:ext>
              </a:extLst>
            </xdr:cNvPr>
            <xdr:cNvGraphicFramePr/>
          </xdr:nvGraphicFramePr>
          <xdr:xfrm>
            <a:off x="0" y="0"/>
            <a:ext cx="0" cy="0"/>
          </xdr:xfrm>
          <a:graphic>
            <a:graphicData uri="http://schemas.microsoft.com/office/drawing/2010/slicer">
              <sle:slicer xmlns:sle="http://schemas.microsoft.com/office/drawing/2010/slicer" name="CATEGORIE 2"/>
            </a:graphicData>
          </a:graphic>
        </xdr:graphicFrame>
      </mc:Choice>
      <mc:Fallback xmlns="">
        <xdr:sp macro="" textlink="">
          <xdr:nvSpPr>
            <xdr:cNvPr id="0" name=""/>
            <xdr:cNvSpPr>
              <a:spLocks noTextEdit="1"/>
            </xdr:cNvSpPr>
          </xdr:nvSpPr>
          <xdr:spPr>
            <a:xfrm>
              <a:off x="808566" y="59266"/>
              <a:ext cx="1828800"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3</xdr:col>
      <xdr:colOff>1446389</xdr:colOff>
      <xdr:row>1</xdr:row>
      <xdr:rowOff>62089</xdr:rowOff>
    </xdr:from>
    <xdr:to>
      <xdr:col>3</xdr:col>
      <xdr:colOff>3141839</xdr:colOff>
      <xdr:row>13</xdr:row>
      <xdr:rowOff>14464</xdr:rowOff>
    </xdr:to>
    <mc:AlternateContent xmlns:mc="http://schemas.openxmlformats.org/markup-compatibility/2006" xmlns:a14="http://schemas.microsoft.com/office/drawing/2010/main">
      <mc:Choice Requires="a14">
        <xdr:graphicFrame macro="">
          <xdr:nvGraphicFramePr>
            <xdr:cNvPr id="3" name="SERVICE 2">
              <a:extLst>
                <a:ext uri="{FF2B5EF4-FFF2-40B4-BE49-F238E27FC236}">
                  <a16:creationId xmlns:a16="http://schemas.microsoft.com/office/drawing/2014/main" id="{508B2896-B0C6-7E44-BA72-E14D2110DBCC}"/>
                </a:ext>
              </a:extLst>
            </xdr:cNvPr>
            <xdr:cNvGraphicFramePr/>
          </xdr:nvGraphicFramePr>
          <xdr:xfrm>
            <a:off x="0" y="0"/>
            <a:ext cx="0" cy="0"/>
          </xdr:xfrm>
          <a:graphic>
            <a:graphicData uri="http://schemas.microsoft.com/office/drawing/2010/slicer">
              <sle:slicer xmlns:sle="http://schemas.microsoft.com/office/drawing/2010/slicer" name="SERVICE 2"/>
            </a:graphicData>
          </a:graphic>
        </xdr:graphicFrame>
      </mc:Choice>
      <mc:Fallback xmlns="">
        <xdr:sp macro="" textlink="">
          <xdr:nvSpPr>
            <xdr:cNvPr id="0" name=""/>
            <xdr:cNvSpPr>
              <a:spLocks noTextEdit="1"/>
            </xdr:cNvSpPr>
          </xdr:nvSpPr>
          <xdr:spPr>
            <a:xfrm>
              <a:off x="2688167" y="62089"/>
              <a:ext cx="1828800"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3</xdr:col>
      <xdr:colOff>3354211</xdr:colOff>
      <xdr:row>1</xdr:row>
      <xdr:rowOff>50800</xdr:rowOff>
    </xdr:from>
    <xdr:to>
      <xdr:col>6</xdr:col>
      <xdr:colOff>668867</xdr:colOff>
      <xdr:row>13</xdr:row>
      <xdr:rowOff>3175</xdr:rowOff>
    </xdr:to>
    <mc:AlternateContent xmlns:mc="http://schemas.openxmlformats.org/markup-compatibility/2006" xmlns:a14="http://schemas.microsoft.com/office/drawing/2010/main">
      <mc:Choice Requires="a14">
        <xdr:graphicFrame macro="">
          <xdr:nvGraphicFramePr>
            <xdr:cNvPr id="4" name="METIER 1">
              <a:extLst>
                <a:ext uri="{FF2B5EF4-FFF2-40B4-BE49-F238E27FC236}">
                  <a16:creationId xmlns:a16="http://schemas.microsoft.com/office/drawing/2014/main" id="{AB2BE321-8A27-5D46-B911-80895207ACA4}"/>
                </a:ext>
              </a:extLst>
            </xdr:cNvPr>
            <xdr:cNvGraphicFramePr/>
          </xdr:nvGraphicFramePr>
          <xdr:xfrm>
            <a:off x="0" y="0"/>
            <a:ext cx="0" cy="0"/>
          </xdr:xfrm>
          <a:graphic>
            <a:graphicData uri="http://schemas.microsoft.com/office/drawing/2010/slicer">
              <sle:slicer xmlns:sle="http://schemas.microsoft.com/office/drawing/2010/slicer" name="METIER 1"/>
            </a:graphicData>
          </a:graphic>
        </xdr:graphicFrame>
      </mc:Choice>
      <mc:Fallback xmlns="">
        <xdr:sp macro="" textlink="">
          <xdr:nvSpPr>
            <xdr:cNvPr id="0" name=""/>
            <xdr:cNvSpPr>
              <a:spLocks noTextEdit="1"/>
            </xdr:cNvSpPr>
          </xdr:nvSpPr>
          <xdr:spPr>
            <a:xfrm>
              <a:off x="4595989" y="50800"/>
              <a:ext cx="1828800"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6</xdr:col>
      <xdr:colOff>718255</xdr:colOff>
      <xdr:row>1</xdr:row>
      <xdr:rowOff>53622</xdr:rowOff>
    </xdr:from>
    <xdr:to>
      <xdr:col>11</xdr:col>
      <xdr:colOff>219427</xdr:colOff>
      <xdr:row>13</xdr:row>
      <xdr:rowOff>5997</xdr:rowOff>
    </xdr:to>
    <mc:AlternateContent xmlns:mc="http://schemas.openxmlformats.org/markup-compatibility/2006" xmlns:a14="http://schemas.microsoft.com/office/drawing/2010/main">
      <mc:Choice Requires="a14">
        <xdr:graphicFrame macro="">
          <xdr:nvGraphicFramePr>
            <xdr:cNvPr id="5" name="EMPLOI 1">
              <a:extLst>
                <a:ext uri="{FF2B5EF4-FFF2-40B4-BE49-F238E27FC236}">
                  <a16:creationId xmlns:a16="http://schemas.microsoft.com/office/drawing/2014/main" id="{7DE9BF55-60AE-FA4B-84B8-AB217F9DDE4D}"/>
                </a:ext>
              </a:extLst>
            </xdr:cNvPr>
            <xdr:cNvGraphicFramePr/>
          </xdr:nvGraphicFramePr>
          <xdr:xfrm>
            <a:off x="0" y="0"/>
            <a:ext cx="0" cy="0"/>
          </xdr:xfrm>
          <a:graphic>
            <a:graphicData uri="http://schemas.microsoft.com/office/drawing/2010/slicer">
              <sle:slicer xmlns:sle="http://schemas.microsoft.com/office/drawing/2010/slicer" name="EMPLOI 1"/>
            </a:graphicData>
          </a:graphic>
        </xdr:graphicFrame>
      </mc:Choice>
      <mc:Fallback xmlns="">
        <xdr:sp macro="" textlink="">
          <xdr:nvSpPr>
            <xdr:cNvPr id="0" name=""/>
            <xdr:cNvSpPr>
              <a:spLocks noTextEdit="1"/>
            </xdr:cNvSpPr>
          </xdr:nvSpPr>
          <xdr:spPr>
            <a:xfrm>
              <a:off x="6503811" y="491066"/>
              <a:ext cx="2693106"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11</xdr:col>
      <xdr:colOff>311855</xdr:colOff>
      <xdr:row>1</xdr:row>
      <xdr:rowOff>70555</xdr:rowOff>
    </xdr:from>
    <xdr:to>
      <xdr:col>11</xdr:col>
      <xdr:colOff>2140655</xdr:colOff>
      <xdr:row>13</xdr:row>
      <xdr:rowOff>22930</xdr:rowOff>
    </xdr:to>
    <mc:AlternateContent xmlns:mc="http://schemas.openxmlformats.org/markup-compatibility/2006" xmlns:a14="http://schemas.microsoft.com/office/drawing/2010/main">
      <mc:Choice Requires="a14">
        <xdr:graphicFrame macro="">
          <xdr:nvGraphicFramePr>
            <xdr:cNvPr id="6" name="DUREE DU TRAVAIL 1">
              <a:extLst>
                <a:ext uri="{FF2B5EF4-FFF2-40B4-BE49-F238E27FC236}">
                  <a16:creationId xmlns:a16="http://schemas.microsoft.com/office/drawing/2014/main" id="{ACADC51A-A455-C64E-8D38-1C7A4D006E6D}"/>
                </a:ext>
              </a:extLst>
            </xdr:cNvPr>
            <xdr:cNvGraphicFramePr/>
          </xdr:nvGraphicFramePr>
          <xdr:xfrm>
            <a:off x="0" y="0"/>
            <a:ext cx="0" cy="0"/>
          </xdr:xfrm>
          <a:graphic>
            <a:graphicData uri="http://schemas.microsoft.com/office/drawing/2010/slicer">
              <sle:slicer xmlns:sle="http://schemas.microsoft.com/office/drawing/2010/slicer" name="DUREE DU TRAVAIL 1"/>
            </a:graphicData>
          </a:graphic>
        </xdr:graphicFrame>
      </mc:Choice>
      <mc:Fallback xmlns="">
        <xdr:sp macro="" textlink="">
          <xdr:nvSpPr>
            <xdr:cNvPr id="0" name=""/>
            <xdr:cNvSpPr>
              <a:spLocks noTextEdit="1"/>
            </xdr:cNvSpPr>
          </xdr:nvSpPr>
          <xdr:spPr>
            <a:xfrm>
              <a:off x="9258299" y="70555"/>
              <a:ext cx="1828800"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11</xdr:col>
      <xdr:colOff>2191456</xdr:colOff>
      <xdr:row>1</xdr:row>
      <xdr:rowOff>59266</xdr:rowOff>
    </xdr:from>
    <xdr:to>
      <xdr:col>12</xdr:col>
      <xdr:colOff>587728</xdr:colOff>
      <xdr:row>13</xdr:row>
      <xdr:rowOff>11641</xdr:rowOff>
    </xdr:to>
    <mc:AlternateContent xmlns:mc="http://schemas.openxmlformats.org/markup-compatibility/2006" xmlns:a14="http://schemas.microsoft.com/office/drawing/2010/main">
      <mc:Choice Requires="a14">
        <xdr:graphicFrame macro="">
          <xdr:nvGraphicFramePr>
            <xdr:cNvPr id="27" name="Tranches d'âge Index 3">
              <a:extLst>
                <a:ext uri="{FF2B5EF4-FFF2-40B4-BE49-F238E27FC236}">
                  <a16:creationId xmlns:a16="http://schemas.microsoft.com/office/drawing/2014/main" id="{D5C67E29-D6B6-2448-9A82-0FE6CC74DA7D}"/>
                </a:ext>
              </a:extLst>
            </xdr:cNvPr>
            <xdr:cNvGraphicFramePr/>
          </xdr:nvGraphicFramePr>
          <xdr:xfrm>
            <a:off x="0" y="0"/>
            <a:ext cx="0" cy="0"/>
          </xdr:xfrm>
          <a:graphic>
            <a:graphicData uri="http://schemas.microsoft.com/office/drawing/2010/slicer">
              <sle:slicer xmlns:sle="http://schemas.microsoft.com/office/drawing/2010/slicer" name="Tranches d'âge Index 3"/>
            </a:graphicData>
          </a:graphic>
        </xdr:graphicFrame>
      </mc:Choice>
      <mc:Fallback xmlns="">
        <xdr:sp macro="" textlink="">
          <xdr:nvSpPr>
            <xdr:cNvPr id="0" name=""/>
            <xdr:cNvSpPr>
              <a:spLocks noTextEdit="1"/>
            </xdr:cNvSpPr>
          </xdr:nvSpPr>
          <xdr:spPr>
            <a:xfrm>
              <a:off x="11137900" y="59266"/>
              <a:ext cx="1828800"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12</xdr:col>
      <xdr:colOff>388055</xdr:colOff>
      <xdr:row>1</xdr:row>
      <xdr:rowOff>62089</xdr:rowOff>
    </xdr:from>
    <xdr:to>
      <xdr:col>14</xdr:col>
      <xdr:colOff>925689</xdr:colOff>
      <xdr:row>13</xdr:row>
      <xdr:rowOff>14464</xdr:rowOff>
    </xdr:to>
    <mc:AlternateContent xmlns:mc="http://schemas.openxmlformats.org/markup-compatibility/2006" xmlns:a14="http://schemas.microsoft.com/office/drawing/2010/main">
      <mc:Choice Requires="a14">
        <xdr:graphicFrame macro="">
          <xdr:nvGraphicFramePr>
            <xdr:cNvPr id="28" name="Tranche ancienneté 2">
              <a:extLst>
                <a:ext uri="{FF2B5EF4-FFF2-40B4-BE49-F238E27FC236}">
                  <a16:creationId xmlns:a16="http://schemas.microsoft.com/office/drawing/2014/main" id="{166A1A2E-CD49-D645-9BA0-8B724C774B10}"/>
                </a:ext>
              </a:extLst>
            </xdr:cNvPr>
            <xdr:cNvGraphicFramePr/>
          </xdr:nvGraphicFramePr>
          <xdr:xfrm>
            <a:off x="0" y="0"/>
            <a:ext cx="0" cy="0"/>
          </xdr:xfrm>
          <a:graphic>
            <a:graphicData uri="http://schemas.microsoft.com/office/drawing/2010/slicer">
              <sle:slicer xmlns:sle="http://schemas.microsoft.com/office/drawing/2010/slicer" name="Tranche ancienneté 2"/>
            </a:graphicData>
          </a:graphic>
        </xdr:graphicFrame>
      </mc:Choice>
      <mc:Fallback xmlns="">
        <xdr:sp macro="" textlink="">
          <xdr:nvSpPr>
            <xdr:cNvPr id="0" name=""/>
            <xdr:cNvSpPr>
              <a:spLocks noTextEdit="1"/>
            </xdr:cNvSpPr>
          </xdr:nvSpPr>
          <xdr:spPr>
            <a:xfrm>
              <a:off x="12932833" y="62089"/>
              <a:ext cx="1828800" cy="22383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1</xdr:col>
      <xdr:colOff>0</xdr:colOff>
      <xdr:row>0</xdr:row>
      <xdr:rowOff>0</xdr:rowOff>
    </xdr:from>
    <xdr:to>
      <xdr:col>3</xdr:col>
      <xdr:colOff>695325</xdr:colOff>
      <xdr:row>1</xdr:row>
      <xdr:rowOff>12700</xdr:rowOff>
    </xdr:to>
    <xdr:pic>
      <xdr:nvPicPr>
        <xdr:cNvPr id="29" name="Image 5" descr="Description : logo_reseau_quadri.jpg">
          <a:extLst>
            <a:ext uri="{FF2B5EF4-FFF2-40B4-BE49-F238E27FC236}">
              <a16:creationId xmlns:a16="http://schemas.microsoft.com/office/drawing/2014/main" id="{2B941941-8B25-484A-ACA2-1A0526A7673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2000" y="0"/>
          <a:ext cx="1165225"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xdr:colOff>
      <xdr:row>0</xdr:row>
      <xdr:rowOff>254000</xdr:rowOff>
    </xdr:from>
    <xdr:to>
      <xdr:col>3</xdr:col>
      <xdr:colOff>708025</xdr:colOff>
      <xdr:row>1</xdr:row>
      <xdr:rowOff>12700</xdr:rowOff>
    </xdr:to>
    <xdr:pic>
      <xdr:nvPicPr>
        <xdr:cNvPr id="64120872" name="Image 5" descr="Description : logo_reseau_quadri.jpg">
          <a:extLst>
            <a:ext uri="{FF2B5EF4-FFF2-40B4-BE49-F238E27FC236}">
              <a16:creationId xmlns:a16="http://schemas.microsoft.com/office/drawing/2014/main" id="{27D0DC5A-5F8D-A242-8FA5-E6BA27A00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0" y="254000"/>
          <a:ext cx="11811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80</xdr:row>
      <xdr:rowOff>127000</xdr:rowOff>
    </xdr:from>
    <xdr:to>
      <xdr:col>7</xdr:col>
      <xdr:colOff>393700</xdr:colOff>
      <xdr:row>93</xdr:row>
      <xdr:rowOff>63500</xdr:rowOff>
    </xdr:to>
    <xdr:graphicFrame macro="">
      <xdr:nvGraphicFramePr>
        <xdr:cNvPr id="2" name="Graphique 1">
          <a:extLst>
            <a:ext uri="{FF2B5EF4-FFF2-40B4-BE49-F238E27FC236}">
              <a16:creationId xmlns:a16="http://schemas.microsoft.com/office/drawing/2014/main" id="{CDF5798C-D67D-4E42-999A-1D23AEC9B5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80</xdr:row>
      <xdr:rowOff>88900</xdr:rowOff>
    </xdr:from>
    <xdr:to>
      <xdr:col>12</xdr:col>
      <xdr:colOff>647700</xdr:colOff>
      <xdr:row>93</xdr:row>
      <xdr:rowOff>82550</xdr:rowOff>
    </xdr:to>
    <xdr:graphicFrame macro="">
      <xdr:nvGraphicFramePr>
        <xdr:cNvPr id="3" name="Graphique 2">
          <a:extLst>
            <a:ext uri="{FF2B5EF4-FFF2-40B4-BE49-F238E27FC236}">
              <a16:creationId xmlns:a16="http://schemas.microsoft.com/office/drawing/2014/main" id="{7C58E910-9412-3E4E-9822-2673DAFD96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958850</xdr:colOff>
      <xdr:row>80</xdr:row>
      <xdr:rowOff>57150</xdr:rowOff>
    </xdr:from>
    <xdr:to>
      <xdr:col>20</xdr:col>
      <xdr:colOff>774700</xdr:colOff>
      <xdr:row>93</xdr:row>
      <xdr:rowOff>127000</xdr:rowOff>
    </xdr:to>
    <xdr:graphicFrame macro="">
      <xdr:nvGraphicFramePr>
        <xdr:cNvPr id="5" name="Graphique 4">
          <a:extLst>
            <a:ext uri="{FF2B5EF4-FFF2-40B4-BE49-F238E27FC236}">
              <a16:creationId xmlns:a16="http://schemas.microsoft.com/office/drawing/2014/main" id="{1B229820-77ED-7547-9A37-ECDECA5B19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215900</xdr:rowOff>
    </xdr:from>
    <xdr:to>
      <xdr:col>2</xdr:col>
      <xdr:colOff>104775</xdr:colOff>
      <xdr:row>1</xdr:row>
      <xdr:rowOff>12700</xdr:rowOff>
    </xdr:to>
    <xdr:pic>
      <xdr:nvPicPr>
        <xdr:cNvPr id="63507485" name="Image 6" descr="Description : logo_reseau_quadri.jpg">
          <a:extLst>
            <a:ext uri="{FF2B5EF4-FFF2-40B4-BE49-F238E27FC236}">
              <a16:creationId xmlns:a16="http://schemas.microsoft.com/office/drawing/2014/main" id="{1048121A-D77E-5B43-BBA4-BA031CC0D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0" y="215900"/>
          <a:ext cx="930275"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738414</xdr:colOff>
      <xdr:row>0</xdr:row>
      <xdr:rowOff>235857</xdr:rowOff>
    </xdr:from>
    <xdr:to>
      <xdr:col>2</xdr:col>
      <xdr:colOff>503126</xdr:colOff>
      <xdr:row>1</xdr:row>
      <xdr:rowOff>7257</xdr:rowOff>
    </xdr:to>
    <xdr:pic>
      <xdr:nvPicPr>
        <xdr:cNvPr id="59557047" name="Image 5" descr="Description : logo_reseau_quadri.jpg">
          <a:extLst>
            <a:ext uri="{FF2B5EF4-FFF2-40B4-BE49-F238E27FC236}">
              <a16:creationId xmlns:a16="http://schemas.microsoft.com/office/drawing/2014/main" id="{BAC8EC03-7553-B24C-939C-5EE82A5E0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414" y="235857"/>
          <a:ext cx="1161712" cy="569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25400</xdr:colOff>
      <xdr:row>0</xdr:row>
      <xdr:rowOff>393700</xdr:rowOff>
    </xdr:from>
    <xdr:to>
      <xdr:col>2</xdr:col>
      <xdr:colOff>953994</xdr:colOff>
      <xdr:row>1</xdr:row>
      <xdr:rowOff>25400</xdr:rowOff>
    </xdr:to>
    <xdr:pic>
      <xdr:nvPicPr>
        <xdr:cNvPr id="64121876" name="Image 4" descr="Description : logo_reseau_quadri.jpg">
          <a:extLst>
            <a:ext uri="{FF2B5EF4-FFF2-40B4-BE49-F238E27FC236}">
              <a16:creationId xmlns:a16="http://schemas.microsoft.com/office/drawing/2014/main" id="{3D10E6B6-5A79-6441-A2AE-B1E03996F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2600" y="393700"/>
          <a:ext cx="11938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12700</xdr:colOff>
      <xdr:row>0</xdr:row>
      <xdr:rowOff>342900</xdr:rowOff>
    </xdr:from>
    <xdr:to>
      <xdr:col>2</xdr:col>
      <xdr:colOff>884768</xdr:colOff>
      <xdr:row>1</xdr:row>
      <xdr:rowOff>25400</xdr:rowOff>
    </xdr:to>
    <xdr:pic>
      <xdr:nvPicPr>
        <xdr:cNvPr id="64122900" name="Image 4" descr="Description : logo_reseau_quadri.jpg">
          <a:extLst>
            <a:ext uri="{FF2B5EF4-FFF2-40B4-BE49-F238E27FC236}">
              <a16:creationId xmlns:a16="http://schemas.microsoft.com/office/drawing/2014/main" id="{F8CBBFA1-2CD8-2A44-94D1-9F7F2D35B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342900"/>
          <a:ext cx="1151468"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177800</xdr:rowOff>
    </xdr:from>
    <xdr:to>
      <xdr:col>4</xdr:col>
      <xdr:colOff>381931</xdr:colOff>
      <xdr:row>1</xdr:row>
      <xdr:rowOff>25400</xdr:rowOff>
    </xdr:to>
    <xdr:pic>
      <xdr:nvPicPr>
        <xdr:cNvPr id="64037908" name="Image 6" descr="Description : logo_reseau_quadri.jpg">
          <a:extLst>
            <a:ext uri="{FF2B5EF4-FFF2-40B4-BE49-F238E27FC236}">
              <a16:creationId xmlns:a16="http://schemas.microsoft.com/office/drawing/2014/main" id="{B36975D4-B80B-E947-B7B8-7D47C3A651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177800"/>
          <a:ext cx="1181100" cy="546100"/>
        </a:xfrm>
        <a:prstGeom prst="rect">
          <a:avLst/>
        </a:prstGeom>
        <a:solidFill>
          <a:srgbClr val="4BACC6"/>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39891</xdr:colOff>
      <xdr:row>4</xdr:row>
      <xdr:rowOff>118737</xdr:rowOff>
    </xdr:from>
    <xdr:to>
      <xdr:col>26</xdr:col>
      <xdr:colOff>863600</xdr:colOff>
      <xdr:row>16</xdr:row>
      <xdr:rowOff>123090</xdr:rowOff>
    </xdr:to>
    <xdr:pic>
      <xdr:nvPicPr>
        <xdr:cNvPr id="7" name="Image 6">
          <a:extLst>
            <a:ext uri="{FF2B5EF4-FFF2-40B4-BE49-F238E27FC236}">
              <a16:creationId xmlns:a16="http://schemas.microsoft.com/office/drawing/2014/main" id="{CDCE6FE5-1964-834E-A1B6-9377220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6105"/>
        <a:stretch>
          <a:fillRect/>
        </a:stretch>
      </xdr:blipFill>
      <xdr:spPr bwMode="auto">
        <a:xfrm>
          <a:off x="21248891" y="2074537"/>
          <a:ext cx="8088109" cy="3636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726153</xdr:colOff>
      <xdr:row>16</xdr:row>
      <xdr:rowOff>225185</xdr:rowOff>
    </xdr:from>
    <xdr:to>
      <xdr:col>36</xdr:col>
      <xdr:colOff>27653</xdr:colOff>
      <xdr:row>28</xdr:row>
      <xdr:rowOff>216407</xdr:rowOff>
    </xdr:to>
    <xdr:pic>
      <xdr:nvPicPr>
        <xdr:cNvPr id="8" name="Image 9">
          <a:extLst>
            <a:ext uri="{FF2B5EF4-FFF2-40B4-BE49-F238E27FC236}">
              <a16:creationId xmlns:a16="http://schemas.microsoft.com/office/drawing/2014/main" id="{5FBD696D-3A29-6746-B871-232430EC79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8965"/>
        <a:stretch>
          <a:fillRect/>
        </a:stretch>
      </xdr:blipFill>
      <xdr:spPr bwMode="auto">
        <a:xfrm>
          <a:off x="29783753" y="5533785"/>
          <a:ext cx="7823200" cy="4169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12700</xdr:colOff>
      <xdr:row>0</xdr:row>
      <xdr:rowOff>165100</xdr:rowOff>
    </xdr:from>
    <xdr:to>
      <xdr:col>18</xdr:col>
      <xdr:colOff>27515</xdr:colOff>
      <xdr:row>1</xdr:row>
      <xdr:rowOff>8467</xdr:rowOff>
    </xdr:to>
    <xdr:pic>
      <xdr:nvPicPr>
        <xdr:cNvPr id="9" name="Image 6" descr="Description : logo_reseau_quadri.jpg">
          <a:extLst>
            <a:ext uri="{FF2B5EF4-FFF2-40B4-BE49-F238E27FC236}">
              <a16:creationId xmlns:a16="http://schemas.microsoft.com/office/drawing/2014/main" id="{3EDF20E0-870A-3247-A130-73D55195FD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231600" y="165100"/>
          <a:ext cx="1157815" cy="541867"/>
        </a:xfrm>
        <a:prstGeom prst="rect">
          <a:avLst/>
        </a:prstGeom>
        <a:solidFill>
          <a:srgbClr val="4BACC6"/>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173566</xdr:colOff>
      <xdr:row>25</xdr:row>
      <xdr:rowOff>226484</xdr:rowOff>
    </xdr:from>
    <xdr:to>
      <xdr:col>26</xdr:col>
      <xdr:colOff>509057</xdr:colOff>
      <xdr:row>40</xdr:row>
      <xdr:rowOff>139853</xdr:rowOff>
    </xdr:to>
    <xdr:pic>
      <xdr:nvPicPr>
        <xdr:cNvPr id="10" name="Image 12">
          <a:extLst>
            <a:ext uri="{FF2B5EF4-FFF2-40B4-BE49-F238E27FC236}">
              <a16:creationId xmlns:a16="http://schemas.microsoft.com/office/drawing/2014/main" id="{ED18C9AB-5904-7949-8C69-A1951CC901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4546"/>
        <a:stretch>
          <a:fillRect/>
        </a:stretch>
      </xdr:blipFill>
      <xdr:spPr bwMode="auto">
        <a:xfrm>
          <a:off x="22398566" y="8608484"/>
          <a:ext cx="6583891" cy="4001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571500</xdr:colOff>
      <xdr:row>0</xdr:row>
      <xdr:rowOff>228600</xdr:rowOff>
    </xdr:from>
    <xdr:to>
      <xdr:col>39</xdr:col>
      <xdr:colOff>625477</xdr:colOff>
      <xdr:row>1</xdr:row>
      <xdr:rowOff>76200</xdr:rowOff>
    </xdr:to>
    <xdr:pic>
      <xdr:nvPicPr>
        <xdr:cNvPr id="13" name="Image 6" descr="Description : logo_reseau_quadri.jpg">
          <a:extLst>
            <a:ext uri="{FF2B5EF4-FFF2-40B4-BE49-F238E27FC236}">
              <a16:creationId xmlns:a16="http://schemas.microsoft.com/office/drawing/2014/main" id="{1FEA1885-A9EC-F64A-84C5-3690C75532F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0" y="228600"/>
          <a:ext cx="11684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4254500</xdr:colOff>
      <xdr:row>6</xdr:row>
      <xdr:rowOff>88900</xdr:rowOff>
    </xdr:from>
    <xdr:to>
      <xdr:col>41</xdr:col>
      <xdr:colOff>5435600</xdr:colOff>
      <xdr:row>10</xdr:row>
      <xdr:rowOff>120132</xdr:rowOff>
    </xdr:to>
    <xdr:pic>
      <xdr:nvPicPr>
        <xdr:cNvPr id="4" name="Image 3">
          <a:extLst>
            <a:ext uri="{FF2B5EF4-FFF2-40B4-BE49-F238E27FC236}">
              <a16:creationId xmlns:a16="http://schemas.microsoft.com/office/drawing/2014/main" id="{D8ED4A7E-1F10-0247-A538-A3F6E4ACCB02}"/>
            </a:ext>
          </a:extLst>
        </xdr:cNvPr>
        <xdr:cNvPicPr>
          <a:picLocks noChangeAspect="1"/>
        </xdr:cNvPicPr>
      </xdr:nvPicPr>
      <xdr:blipFill>
        <a:blip xmlns:r="http://schemas.openxmlformats.org/officeDocument/2006/relationships" r:embed="rId7"/>
        <a:stretch>
          <a:fillRect/>
        </a:stretch>
      </xdr:blipFill>
      <xdr:spPr>
        <a:xfrm>
          <a:off x="44437300" y="3022600"/>
          <a:ext cx="1181100" cy="1072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477644</xdr:colOff>
      <xdr:row>6</xdr:row>
      <xdr:rowOff>165100</xdr:rowOff>
    </xdr:from>
    <xdr:to>
      <xdr:col>21</xdr:col>
      <xdr:colOff>304800</xdr:colOff>
      <xdr:row>11</xdr:row>
      <xdr:rowOff>127000</xdr:rowOff>
    </xdr:to>
    <xdr:sp macro="" textlink="">
      <xdr:nvSpPr>
        <xdr:cNvPr id="7" name="AutoShape 687">
          <a:extLst>
            <a:ext uri="{FF2B5EF4-FFF2-40B4-BE49-F238E27FC236}">
              <a16:creationId xmlns:a16="http://schemas.microsoft.com/office/drawing/2014/main" id="{95158122-913B-7944-B912-0DB4D95EC732}"/>
            </a:ext>
          </a:extLst>
        </xdr:cNvPr>
        <xdr:cNvSpPr>
          <a:spLocks noChangeAspect="1" noChangeArrowheads="1"/>
        </xdr:cNvSpPr>
      </xdr:nvSpPr>
      <xdr:spPr bwMode="auto">
        <a:xfrm>
          <a:off x="14676244" y="1663700"/>
          <a:ext cx="10126856" cy="3009900"/>
        </a:xfrm>
        <a:prstGeom prst="snip1Rect">
          <a:avLst>
            <a:gd name="adj" fmla="val 2647"/>
          </a:avLst>
        </a:prstGeom>
        <a:solidFill>
          <a:schemeClr val="bg1"/>
        </a:solidFill>
        <a:ln w="9525">
          <a:noFill/>
          <a:miter lim="800000"/>
          <a:headEnd/>
          <a:tailEnd/>
        </a:ln>
      </xdr:spPr>
      <xdr:txBody>
        <a:bodyPr wrap="square" lIns="27432"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1600" b="0" i="0" u="sng" strike="noStrike" kern="0" cap="none" spc="0" normalizeH="0" baseline="0" noProof="0">
              <a:ln>
                <a:noFill/>
              </a:ln>
              <a:solidFill>
                <a:schemeClr val="accent5"/>
              </a:solidFill>
              <a:effectLst/>
              <a:uLnTx/>
              <a:uFillTx/>
              <a:latin typeface="Ubuntu" panose="020B0504030602030204" pitchFamily="34" charset="0"/>
              <a:ea typeface="Arial"/>
              <a:cs typeface="Arial"/>
            </a:rPr>
            <a:t>Conseils - Se reporter au guide d'utilisation pour insérer les données</a:t>
          </a:r>
          <a:endParaRPr kumimoji="0" lang="fr-FR" sz="1600" b="0" i="0" u="none" strike="noStrike" kern="0" cap="none" spc="0" normalizeH="0" baseline="0" noProof="0">
            <a:ln>
              <a:noFill/>
            </a:ln>
            <a:solidFill>
              <a:schemeClr val="accent5"/>
            </a:solidFill>
            <a:effectLst/>
            <a:uLnTx/>
            <a:uFillTx/>
            <a:latin typeface="Ubuntu" panose="020B0504030602030204" pitchFamily="34" charset="0"/>
            <a:ea typeface="Arial"/>
            <a:cs typeface="Arial"/>
          </a:endParaRPr>
        </a:p>
        <a:p>
          <a:pPr algn="l"/>
          <a:r>
            <a:rPr lang="fr-FR" sz="1600" b="0">
              <a:solidFill>
                <a:schemeClr val="accent5"/>
              </a:solidFill>
              <a:effectLst/>
              <a:latin typeface="Ubuntu" panose="020B0504030602030204" pitchFamily="34" charset="0"/>
              <a:ea typeface="+mn-ea"/>
              <a:cs typeface="+mn-cs"/>
            </a:rPr>
            <a:t>1. Renseigner  la date de référence </a:t>
          </a:r>
        </a:p>
        <a:p>
          <a:pPr algn="l"/>
          <a:r>
            <a:rPr lang="fr-FR" sz="1600" b="0">
              <a:solidFill>
                <a:schemeClr val="accent5"/>
              </a:solidFill>
              <a:effectLst/>
              <a:latin typeface="Ubuntu" panose="020B0504030602030204" pitchFamily="34" charset="0"/>
              <a:ea typeface="+mn-ea"/>
              <a:cs typeface="+mn-cs"/>
            </a:rPr>
            <a:t>2. Vérifier que toutes les dates sont en format date</a:t>
          </a:r>
        </a:p>
        <a:p>
          <a:pPr algn="l"/>
          <a:r>
            <a:rPr lang="fr-FR" sz="1600" b="0">
              <a:solidFill>
                <a:schemeClr val="accent5"/>
              </a:solidFill>
              <a:effectLst/>
              <a:latin typeface="Ubuntu" panose="020B0504030602030204" pitchFamily="34" charset="0"/>
              <a:ea typeface="+mn-ea"/>
              <a:cs typeface="+mn-cs"/>
            </a:rPr>
            <a:t>3. Ne pas modifier les cellules grises -</a:t>
          </a:r>
          <a:r>
            <a:rPr lang="fr-FR" sz="1600" b="0" baseline="0">
              <a:solidFill>
                <a:schemeClr val="accent5"/>
              </a:solidFill>
              <a:effectLst/>
              <a:latin typeface="Ubuntu" panose="020B0504030602030204" pitchFamily="34" charset="0"/>
              <a:ea typeface="+mn-ea"/>
              <a:cs typeface="+mn-cs"/>
            </a:rPr>
            <a:t> </a:t>
          </a:r>
          <a:r>
            <a:rPr lang="fr-FR" sz="1600" b="0">
              <a:solidFill>
                <a:schemeClr val="accent5"/>
              </a:solidFill>
              <a:effectLst/>
              <a:latin typeface="Ubuntu" panose="020B0504030602030204" pitchFamily="34" charset="0"/>
              <a:ea typeface="+mn-ea"/>
              <a:cs typeface="+mn-cs"/>
            </a:rPr>
            <a:t>formules automatiques</a:t>
          </a:r>
        </a:p>
        <a:p>
          <a:pPr algn="l"/>
          <a:r>
            <a:rPr lang="fr-FR" sz="1600" b="0">
              <a:solidFill>
                <a:schemeClr val="accent5"/>
              </a:solidFill>
              <a:effectLst/>
              <a:latin typeface="Ubuntu" panose="020B0504030602030204" pitchFamily="34" charset="0"/>
              <a:ea typeface="+mn-ea"/>
              <a:cs typeface="+mn-cs"/>
            </a:rPr>
            <a:t>4. Ne pas insérer de lignes avant le tableau de données (ligne 13)</a:t>
          </a:r>
        </a:p>
        <a:p>
          <a:pPr algn="l"/>
          <a:r>
            <a:rPr lang="fr-FR" sz="1600" b="0">
              <a:solidFill>
                <a:schemeClr val="accent5"/>
              </a:solidFill>
              <a:effectLst/>
              <a:latin typeface="Ubuntu" panose="020B0504030602030204" pitchFamily="34" charset="0"/>
              <a:ea typeface="+mn-ea"/>
              <a:cs typeface="+mn-cs"/>
            </a:rPr>
            <a:t>5.</a:t>
          </a:r>
          <a:r>
            <a:rPr lang="fr-FR" sz="1600" b="0" baseline="0">
              <a:solidFill>
                <a:schemeClr val="accent5"/>
              </a:solidFill>
              <a:effectLst/>
              <a:latin typeface="Ubuntu" panose="020B0504030602030204" pitchFamily="34" charset="0"/>
              <a:ea typeface="+mn-ea"/>
              <a:cs typeface="+mn-cs"/>
            </a:rPr>
            <a:t> </a:t>
          </a:r>
          <a:r>
            <a:rPr lang="fr-FR" sz="1600" b="0">
              <a:solidFill>
                <a:schemeClr val="accent5"/>
              </a:solidFill>
              <a:effectLst/>
              <a:latin typeface="Ubuntu" panose="020B0504030602030204" pitchFamily="34" charset="0"/>
              <a:ea typeface="+mn-ea"/>
              <a:cs typeface="+mn-cs"/>
            </a:rPr>
            <a:t>Ne</a:t>
          </a:r>
          <a:r>
            <a:rPr lang="fr-FR" sz="1600" b="0" baseline="0">
              <a:solidFill>
                <a:schemeClr val="accent5"/>
              </a:solidFill>
              <a:effectLst/>
              <a:latin typeface="Ubuntu" panose="020B0504030602030204" pitchFamily="34" charset="0"/>
              <a:ea typeface="+mn-ea"/>
              <a:cs typeface="+mn-cs"/>
            </a:rPr>
            <a:t> pas changer les intitulés </a:t>
          </a:r>
          <a:r>
            <a:rPr lang="fr-FR" sz="1600" b="0">
              <a:solidFill>
                <a:schemeClr val="accent5"/>
              </a:solidFill>
              <a:effectLst/>
              <a:latin typeface="Ubuntu" panose="020B0504030602030204" pitchFamily="34" charset="0"/>
              <a:ea typeface="+mn-ea"/>
              <a:cs typeface="+mn-cs"/>
            </a:rPr>
            <a:t>de colonnes </a:t>
          </a:r>
        </a:p>
        <a:p>
          <a:pPr algn="l"/>
          <a:r>
            <a:rPr lang="fr-FR" sz="1600" b="0">
              <a:solidFill>
                <a:schemeClr val="accent5"/>
              </a:solidFill>
              <a:effectLst/>
              <a:latin typeface="Ubuntu" panose="020B0504030602030204" pitchFamily="34" charset="0"/>
              <a:ea typeface="+mn-ea"/>
              <a:cs typeface="+mn-cs"/>
            </a:rPr>
            <a:t>6. Une colonne doit être remplie pour l'ensemble de vos données -</a:t>
          </a:r>
          <a:r>
            <a:rPr lang="fr-FR" sz="1600" b="0" baseline="0">
              <a:solidFill>
                <a:schemeClr val="accent5"/>
              </a:solidFill>
              <a:effectLst/>
              <a:latin typeface="Ubuntu" panose="020B0504030602030204" pitchFamily="34" charset="0"/>
              <a:ea typeface="+mn-ea"/>
              <a:cs typeface="+mn-cs"/>
            </a:rPr>
            <a:t> </a:t>
          </a:r>
          <a:r>
            <a:rPr lang="fr-FR" sz="1600" b="0">
              <a:solidFill>
                <a:schemeClr val="accent5"/>
              </a:solidFill>
              <a:effectLst/>
              <a:latin typeface="Ubuntu" panose="020B0504030602030204" pitchFamily="34" charset="0"/>
              <a:ea typeface="+mn-ea"/>
              <a:cs typeface="+mn-cs"/>
            </a:rPr>
            <a:t>pas de cellules vides</a:t>
          </a:r>
        </a:p>
        <a:p>
          <a:pPr algn="l"/>
          <a:r>
            <a:rPr lang="fr-FR" sz="1600" b="0">
              <a:solidFill>
                <a:schemeClr val="accent5"/>
              </a:solidFill>
              <a:effectLst/>
              <a:latin typeface="Ubuntu" panose="020B0504030602030204" pitchFamily="34" charset="0"/>
              <a:ea typeface="+mn-ea"/>
              <a:cs typeface="+mn-cs"/>
            </a:rPr>
            <a:t>7. Vérifier l'homogénéité des appelations et regrouper</a:t>
          </a:r>
          <a:r>
            <a:rPr lang="fr-FR" sz="1600" b="0" baseline="0">
              <a:solidFill>
                <a:schemeClr val="accent5"/>
              </a:solidFill>
              <a:effectLst/>
              <a:latin typeface="Ubuntu" panose="020B0504030602030204" pitchFamily="34" charset="0"/>
              <a:ea typeface="+mn-ea"/>
              <a:cs typeface="+mn-cs"/>
            </a:rPr>
            <a:t> </a:t>
          </a:r>
          <a:r>
            <a:rPr lang="fr-FR" sz="1600" b="0">
              <a:solidFill>
                <a:schemeClr val="accent5"/>
              </a:solidFill>
              <a:effectLst/>
              <a:latin typeface="Ubuntu" panose="020B0504030602030204" pitchFamily="34" charset="0"/>
              <a:ea typeface="+mn-ea"/>
              <a:cs typeface="+mn-cs"/>
            </a:rPr>
            <a:t>(ex. : pour CSP</a:t>
          </a:r>
          <a:r>
            <a:rPr lang="fr-FR" sz="1600" b="0" baseline="0">
              <a:solidFill>
                <a:schemeClr val="accent5"/>
              </a:solidFill>
              <a:effectLst/>
              <a:latin typeface="Ubuntu" panose="020B0504030602030204" pitchFamily="34" charset="0"/>
              <a:ea typeface="+mn-ea"/>
              <a:cs typeface="+mn-cs"/>
            </a:rPr>
            <a:t> :</a:t>
          </a:r>
          <a:r>
            <a:rPr lang="fr-FR" sz="1600" b="0">
              <a:solidFill>
                <a:schemeClr val="accent5"/>
              </a:solidFill>
              <a:effectLst/>
              <a:latin typeface="Ubuntu" panose="020B0504030602030204" pitchFamily="34" charset="0"/>
              <a:ea typeface="+mn-ea"/>
              <a:cs typeface="+mn-cs"/>
            </a:rPr>
            <a:t> regrouper "Ouvriers", "ouvrier",...)</a:t>
          </a:r>
        </a:p>
        <a:p>
          <a:pPr algn="l"/>
          <a:r>
            <a:rPr kumimoji="0" lang="fr-FR" sz="1600" b="0" i="0" u="none" strike="noStrike" kern="0" cap="none" spc="0" normalizeH="0" baseline="0" noProof="0">
              <a:ln>
                <a:noFill/>
              </a:ln>
              <a:solidFill>
                <a:schemeClr val="accent5"/>
              </a:solidFill>
              <a:effectLst/>
              <a:uLnTx/>
              <a:uFillTx/>
              <a:latin typeface="Ubuntu" panose="020B0504030602030204" pitchFamily="34" charset="0"/>
              <a:ea typeface="Arial"/>
              <a:cs typeface="Arial"/>
            </a:rPr>
            <a:t>8. S'il manque des valeurs dans les listes déroulantes, vous pouvez les ajouter dans l'onglet "Paramètres"</a:t>
          </a:r>
        </a:p>
      </xdr:txBody>
    </xdr:sp>
    <xdr:clientData/>
  </xdr:twoCellAnchor>
  <xdr:twoCellAnchor editAs="oneCell">
    <xdr:from>
      <xdr:col>0</xdr:col>
      <xdr:colOff>12700</xdr:colOff>
      <xdr:row>0</xdr:row>
      <xdr:rowOff>0</xdr:rowOff>
    </xdr:from>
    <xdr:to>
      <xdr:col>0</xdr:col>
      <xdr:colOff>1193800</xdr:colOff>
      <xdr:row>1</xdr:row>
      <xdr:rowOff>76200</xdr:rowOff>
    </xdr:to>
    <xdr:pic>
      <xdr:nvPicPr>
        <xdr:cNvPr id="64042226" name="Image 7" descr="Description : logo_reseau_quadri.jpg">
          <a:extLst>
            <a:ext uri="{FF2B5EF4-FFF2-40B4-BE49-F238E27FC236}">
              <a16:creationId xmlns:a16="http://schemas.microsoft.com/office/drawing/2014/main" id="{60C426DB-4258-8340-9D41-C97610B4F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 y="0"/>
          <a:ext cx="11811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1389260</xdr:colOff>
      <xdr:row>6</xdr:row>
      <xdr:rowOff>93597</xdr:rowOff>
    </xdr:from>
    <xdr:to>
      <xdr:col>29</xdr:col>
      <xdr:colOff>228600</xdr:colOff>
      <xdr:row>12</xdr:row>
      <xdr:rowOff>101600</xdr:rowOff>
    </xdr:to>
    <xdr:sp macro="" textlink="">
      <xdr:nvSpPr>
        <xdr:cNvPr id="6" name="ZoneTexte 5">
          <a:extLst>
            <a:ext uri="{FF2B5EF4-FFF2-40B4-BE49-F238E27FC236}">
              <a16:creationId xmlns:a16="http://schemas.microsoft.com/office/drawing/2014/main" id="{2BF83FAF-D062-074A-8DDE-D9725D2FC109}"/>
            </a:ext>
          </a:extLst>
        </xdr:cNvPr>
        <xdr:cNvSpPr txBox="1"/>
      </xdr:nvSpPr>
      <xdr:spPr>
        <a:xfrm>
          <a:off x="28198960" y="1592197"/>
          <a:ext cx="4567040" cy="32211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fr-FR" sz="1400" b="1" i="0" u="none" strike="noStrike" baseline="0">
              <a:solidFill>
                <a:srgbClr val="FF2F92"/>
              </a:solidFill>
              <a:latin typeface="+mn-lt"/>
              <a:ea typeface="Tahoma" pitchFamily="2" charset="0"/>
              <a:cs typeface="Tahoma" pitchFamily="2" charset="0"/>
            </a:rPr>
            <a:t>INDEX : </a:t>
          </a:r>
          <a:r>
            <a:rPr lang="fr-FR" sz="1200" b="1" i="0" u="none" strike="noStrike" baseline="0">
              <a:solidFill>
                <a:srgbClr val="FF2F92"/>
              </a:solidFill>
              <a:latin typeface="+mn-lt"/>
              <a:ea typeface="Tahoma" pitchFamily="2" charset="0"/>
              <a:cs typeface="Tahoma" pitchFamily="2" charset="0"/>
            </a:rPr>
            <a:t>pour le calcul de la "rémunération annuelle brute en ETP", base de calcul de l'INDEX, ne sont pas considérées : </a:t>
          </a:r>
        </a:p>
        <a:p>
          <a:pPr algn="l" rtl="0">
            <a:defRPr sz="1000"/>
          </a:pPr>
          <a:r>
            <a:rPr lang="fr-FR" sz="1200" b="0" i="0" u="none" strike="noStrike" baseline="0">
              <a:solidFill>
                <a:srgbClr val="000000"/>
              </a:solidFill>
              <a:latin typeface="+mn-lt"/>
              <a:ea typeface="Tahoma" pitchFamily="2" charset="0"/>
              <a:cs typeface="Tahoma" pitchFamily="2" charset="0"/>
            </a:rPr>
            <a:t>- les indemnités de licenciement,  et de rupture conventionnelle ;</a:t>
          </a:r>
        </a:p>
        <a:p>
          <a:pPr algn="l" rtl="0">
            <a:defRPr sz="1000"/>
          </a:pPr>
          <a:r>
            <a:rPr lang="fr-FR" sz="1200" b="0" i="0" u="none" strike="noStrike" baseline="0">
              <a:solidFill>
                <a:srgbClr val="000000"/>
              </a:solidFill>
              <a:latin typeface="+mn-lt"/>
              <a:ea typeface="Tahoma" pitchFamily="2" charset="0"/>
              <a:cs typeface="Tahoma" pitchFamily="2" charset="0"/>
            </a:rPr>
            <a:t>- les indeminités de fin de CDD notamment de précarité ;</a:t>
          </a:r>
        </a:p>
        <a:p>
          <a:pPr algn="l" rtl="0">
            <a:defRPr sz="1000"/>
          </a:pPr>
          <a:r>
            <a:rPr lang="fr-FR" sz="1200" b="0" i="0" u="none" strike="noStrike" baseline="0">
              <a:solidFill>
                <a:srgbClr val="000000"/>
              </a:solidFill>
              <a:latin typeface="+mn-lt"/>
              <a:ea typeface="Tahoma" pitchFamily="2" charset="0"/>
              <a:cs typeface="Tahoma" pitchFamily="2" charset="0"/>
            </a:rPr>
            <a:t>- les indemnités de départ à la retraite ;</a:t>
          </a:r>
        </a:p>
        <a:p>
          <a:pPr algn="l" rtl="0">
            <a:defRPr sz="1000"/>
          </a:pPr>
          <a:r>
            <a:rPr lang="fr-FR" sz="1200" b="0" i="0" u="none" strike="noStrike" baseline="0">
              <a:solidFill>
                <a:srgbClr val="000000"/>
              </a:solidFill>
              <a:latin typeface="+mn-lt"/>
              <a:ea typeface="Tahoma" pitchFamily="2" charset="0"/>
              <a:cs typeface="Tahoma" pitchFamily="2" charset="0"/>
            </a:rPr>
            <a:t>- les indeminités compensatrices de congés payés, versées en fin de contrat ;</a:t>
          </a:r>
        </a:p>
        <a:p>
          <a:pPr algn="l" rtl="0">
            <a:defRPr sz="1000"/>
          </a:pPr>
          <a:r>
            <a:rPr lang="fr-FR" sz="1200" b="0" i="0" u="none" strike="noStrike" baseline="0">
              <a:solidFill>
                <a:srgbClr val="000000"/>
              </a:solidFill>
              <a:latin typeface="+mn-lt"/>
              <a:ea typeface="Tahoma" pitchFamily="2" charset="0"/>
              <a:cs typeface="Tahoma" pitchFamily="2" charset="0"/>
            </a:rPr>
            <a:t>- les primes à une sujétion particulière ne concernant pas le salarié (prime de salisure, prime de froid, prime d'ouverture,de fermeture d'un magasin, prime d'astreinte) ;</a:t>
          </a:r>
        </a:p>
        <a:p>
          <a:pPr algn="l" rtl="0">
            <a:defRPr sz="1000"/>
          </a:pPr>
          <a:r>
            <a:rPr lang="fr-FR" sz="1200" b="0" i="0" u="none" strike="noStrike" baseline="0">
              <a:solidFill>
                <a:srgbClr val="000000"/>
              </a:solidFill>
              <a:latin typeface="+mn-lt"/>
              <a:ea typeface="Tahoma" pitchFamily="2" charset="0"/>
              <a:cs typeface="Tahoma" pitchFamily="2" charset="0"/>
            </a:rPr>
            <a:t>- les primes d'ancienneté ;</a:t>
          </a:r>
        </a:p>
        <a:p>
          <a:pPr algn="l" rtl="0">
            <a:defRPr sz="1000"/>
          </a:pPr>
          <a:r>
            <a:rPr lang="fr-FR" sz="1200" b="0" i="0" u="none" strike="noStrike" baseline="0">
              <a:solidFill>
                <a:srgbClr val="000000"/>
              </a:solidFill>
              <a:latin typeface="+mn-lt"/>
              <a:ea typeface="Tahoma" pitchFamily="2" charset="0"/>
              <a:cs typeface="Tahoma" pitchFamily="2" charset="0"/>
            </a:rPr>
            <a:t>- les heures supplémentaires, les heures complémentaires ;</a:t>
          </a:r>
        </a:p>
        <a:p>
          <a:pPr algn="l" rtl="0">
            <a:defRPr sz="1000"/>
          </a:pPr>
          <a:r>
            <a:rPr lang="fr-FR" sz="1200" b="0" i="0" u="none" strike="noStrike" baseline="0">
              <a:solidFill>
                <a:srgbClr val="000000"/>
              </a:solidFill>
              <a:latin typeface="+mn-lt"/>
              <a:ea typeface="Tahoma" pitchFamily="2" charset="0"/>
              <a:cs typeface="Tahoma" pitchFamily="2" charset="0"/>
            </a:rPr>
            <a:t>- les versements effectués au titre de l'intéressement et de la participation ;</a:t>
          </a:r>
        </a:p>
        <a:p>
          <a:pPr algn="l" rtl="0">
            <a:defRPr sz="1000"/>
          </a:pPr>
          <a:r>
            <a:rPr lang="fr-FR" sz="1200" b="0" i="0" u="none" strike="noStrike" baseline="0">
              <a:solidFill>
                <a:srgbClr val="000000"/>
              </a:solidFill>
              <a:latin typeface="+mn-lt"/>
              <a:ea typeface="Tahoma" pitchFamily="2" charset="0"/>
              <a:cs typeface="Tahoma" pitchFamily="2" charset="0"/>
            </a:rPr>
            <a:t>- les actions et stock-options ou compensations différées en actions ;</a:t>
          </a:r>
        </a:p>
        <a:p>
          <a:pPr algn="l" rtl="0">
            <a:defRPr sz="1000"/>
          </a:pPr>
          <a:r>
            <a:rPr lang="fr-FR" sz="1200" b="0" i="0" u="none" strike="noStrike" baseline="0">
              <a:solidFill>
                <a:srgbClr val="000000"/>
              </a:solidFill>
              <a:latin typeface="+mn-lt"/>
              <a:ea typeface="Tahoma" pitchFamily="2" charset="0"/>
              <a:cs typeface="Tahoma" pitchFamily="2" charset="0"/>
            </a:rPr>
            <a:t>- les sommes issues de la monétisation du CET.</a:t>
          </a:r>
        </a:p>
        <a:p>
          <a:endParaRPr lang="fr-FR" sz="1100"/>
        </a:p>
      </xdr:txBody>
    </xdr:sp>
    <xdr:clientData/>
  </xdr:twoCellAnchor>
  <xdr:twoCellAnchor>
    <xdr:from>
      <xdr:col>29</xdr:col>
      <xdr:colOff>358428</xdr:colOff>
      <xdr:row>6</xdr:row>
      <xdr:rowOff>100382</xdr:rowOff>
    </xdr:from>
    <xdr:to>
      <xdr:col>32</xdr:col>
      <xdr:colOff>673100</xdr:colOff>
      <xdr:row>12</xdr:row>
      <xdr:rowOff>88900</xdr:rowOff>
    </xdr:to>
    <xdr:sp macro="" textlink="">
      <xdr:nvSpPr>
        <xdr:cNvPr id="12" name="ZoneTexte 11">
          <a:extLst>
            <a:ext uri="{FF2B5EF4-FFF2-40B4-BE49-F238E27FC236}">
              <a16:creationId xmlns:a16="http://schemas.microsoft.com/office/drawing/2014/main" id="{CC72A0A7-3E8B-B74D-89CC-8D7F157F6BC8}"/>
            </a:ext>
          </a:extLst>
        </xdr:cNvPr>
        <xdr:cNvSpPr txBox="1"/>
      </xdr:nvSpPr>
      <xdr:spPr>
        <a:xfrm>
          <a:off x="32895828" y="1598982"/>
          <a:ext cx="3667472" cy="3201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fr-FR" sz="1400" b="1" i="0" u="none" strike="noStrike" baseline="0">
              <a:solidFill>
                <a:srgbClr val="FF2F92"/>
              </a:solidFill>
              <a:latin typeface="+mn-lt"/>
              <a:ea typeface="Tahoma" pitchFamily="2" charset="0"/>
              <a:cs typeface="Tahoma" pitchFamily="2" charset="0"/>
            </a:rPr>
            <a:t>INDEX </a:t>
          </a:r>
          <a:r>
            <a:rPr lang="fr-FR" sz="1200" b="1" i="0" u="none" strike="noStrike" baseline="0">
              <a:solidFill>
                <a:srgbClr val="FF2F92"/>
              </a:solidFill>
              <a:latin typeface="+mn-lt"/>
              <a:ea typeface="Tahoma" pitchFamily="2" charset="0"/>
              <a:cs typeface="Tahoma" pitchFamily="2" charset="0"/>
            </a:rPr>
            <a:t>: la formule  "rémunération annuelle brute en ETP", considère </a:t>
          </a:r>
          <a:r>
            <a:rPr lang="fr-FR" sz="1200" b="1" i="0" u="none" strike="noStrike" baseline="0">
              <a:solidFill>
                <a:srgbClr val="FF0000"/>
              </a:solidFill>
              <a:latin typeface="+mn-lt"/>
              <a:ea typeface="Tahoma" pitchFamily="2" charset="0"/>
              <a:cs typeface="Tahoma" pitchFamily="2" charset="0"/>
            </a:rPr>
            <a:t>le salaire ou traitement ordinaire de base ou minimum (</a:t>
          </a:r>
          <a:r>
            <a:rPr lang="fr-FR" sz="1200" b="1" i="0" u="none" strike="noStrike" baseline="0">
              <a:solidFill>
                <a:srgbClr val="FF2F92"/>
              </a:solidFill>
              <a:latin typeface="+mn-lt"/>
              <a:ea typeface="Tahoma" pitchFamily="2" charset="0"/>
              <a:cs typeface="Tahoma" pitchFamily="2" charset="0"/>
            </a:rPr>
            <a:t>en ETP annuel) </a:t>
          </a:r>
          <a:r>
            <a:rPr lang="fr-FR" sz="1200" b="1" i="0" u="none" strike="noStrike" baseline="0">
              <a:solidFill>
                <a:srgbClr val="FF0000"/>
              </a:solidFill>
              <a:latin typeface="+mn-lt"/>
              <a:ea typeface="Tahoma" pitchFamily="2" charset="0"/>
              <a:cs typeface="Tahoma" pitchFamily="2" charset="0"/>
            </a:rPr>
            <a:t>ainsi que tous les autres avantages et accessoires en espèces ou en nature, payés par l'employeur au salarié en raison de l'emploi de ce dernire, exemple :  </a:t>
          </a:r>
          <a:r>
            <a:rPr lang="fr-FR" sz="1200" b="1" i="0" u="none" strike="noStrike" baseline="0">
              <a:solidFill>
                <a:srgbClr val="FF2F92"/>
              </a:solidFill>
              <a:latin typeface="+mn-lt"/>
              <a:ea typeface="Tahoma" pitchFamily="2" charset="0"/>
              <a:cs typeface="Tahoma" pitchFamily="2" charset="0"/>
            </a:rPr>
            <a:t>(en ETP annualisé) suivants :</a:t>
          </a:r>
        </a:p>
        <a:p>
          <a:pPr algn="l" rtl="0">
            <a:defRPr sz="1000"/>
          </a:pPr>
          <a:r>
            <a:rPr lang="fr-FR" sz="1200" b="0" i="0" u="none" strike="noStrike" baseline="0">
              <a:solidFill>
                <a:srgbClr val="000000"/>
              </a:solidFill>
              <a:latin typeface="+mn-lt"/>
              <a:ea typeface="Tahoma" pitchFamily="2" charset="0"/>
              <a:cs typeface="Tahoma" pitchFamily="2" charset="0"/>
            </a:rPr>
            <a:t>- les indemnités de congés payés ;</a:t>
          </a:r>
        </a:p>
        <a:p>
          <a:pPr algn="l" rtl="0">
            <a:defRPr sz="1000"/>
          </a:pPr>
          <a:r>
            <a:rPr lang="fr-FR" sz="1200" b="0" i="0" u="none" strike="noStrike" baseline="0">
              <a:solidFill>
                <a:srgbClr val="000000"/>
              </a:solidFill>
              <a:latin typeface="+mn-lt"/>
              <a:ea typeface="Tahoma" pitchFamily="2" charset="0"/>
              <a:cs typeface="Tahoma" pitchFamily="2" charset="0"/>
            </a:rPr>
            <a:t>- les primes attribuées à tous les salariés, quel que soit - leur poste de travail (prime de transport ou prime de vacances) ;</a:t>
          </a:r>
        </a:p>
        <a:p>
          <a:pPr algn="l" rtl="0">
            <a:defRPr sz="1000"/>
          </a:pPr>
          <a:r>
            <a:rPr lang="fr-FR" sz="1200" b="0" i="0" u="none" strike="noStrike" baseline="0">
              <a:solidFill>
                <a:srgbClr val="000000"/>
              </a:solidFill>
              <a:latin typeface="+mn-lt"/>
              <a:ea typeface="Tahoma" pitchFamily="2" charset="0"/>
              <a:cs typeface="Tahoma" pitchFamily="2" charset="0"/>
            </a:rPr>
            <a:t>- les bonus, les commissions sur produit, les primes d'objectifs liées aux performances individuelles ;</a:t>
          </a:r>
        </a:p>
        <a:p>
          <a:pPr algn="l" rtl="0">
            <a:defRPr sz="1000"/>
          </a:pPr>
          <a:r>
            <a:rPr lang="fr-FR" sz="1200" b="0" i="0" u="none" strike="noStrike" baseline="0">
              <a:solidFill>
                <a:srgbClr val="000000"/>
              </a:solidFill>
              <a:latin typeface="+mn-lt"/>
              <a:ea typeface="Tahoma" pitchFamily="2" charset="0"/>
              <a:cs typeface="Tahoma" pitchFamily="2" charset="0"/>
            </a:rPr>
            <a:t>- l'indemnité ou crédit de déplacement (équivalent en espèce de l'avantage tiré d'une voiture de fonction pouvant être utilisé a des fins personnelles).</a:t>
          </a:r>
        </a:p>
        <a:p>
          <a:endParaRPr lang="fr-FR" sz="1100"/>
        </a:p>
      </xdr:txBody>
    </xdr:sp>
    <xdr:clientData/>
  </xdr:twoCellAnchor>
  <xdr:twoCellAnchor>
    <xdr:from>
      <xdr:col>0</xdr:col>
      <xdr:colOff>15875</xdr:colOff>
      <xdr:row>7</xdr:row>
      <xdr:rowOff>111125</xdr:rowOff>
    </xdr:from>
    <xdr:to>
      <xdr:col>5</xdr:col>
      <xdr:colOff>381000</xdr:colOff>
      <xdr:row>12</xdr:row>
      <xdr:rowOff>88603</xdr:rowOff>
    </xdr:to>
    <xdr:sp macro="" textlink="">
      <xdr:nvSpPr>
        <xdr:cNvPr id="3" name="ZoneTexte 2">
          <a:hlinkClick xmlns:r="http://schemas.openxmlformats.org/officeDocument/2006/relationships" r:id="rId2"/>
          <a:extLst>
            <a:ext uri="{FF2B5EF4-FFF2-40B4-BE49-F238E27FC236}">
              <a16:creationId xmlns:a16="http://schemas.microsoft.com/office/drawing/2014/main" id="{4394EFCF-072A-5D42-8953-50C6E1B29BC5}"/>
            </a:ext>
          </a:extLst>
        </xdr:cNvPr>
        <xdr:cNvSpPr txBox="1"/>
      </xdr:nvSpPr>
      <xdr:spPr>
        <a:xfrm>
          <a:off x="15875" y="2459148"/>
          <a:ext cx="6995706" cy="3196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2F92"/>
              </a:solidFill>
            </a:rPr>
            <a:t>PERIODE DE REFERENCE</a:t>
          </a:r>
          <a:r>
            <a:rPr lang="fr-FR" sz="1600" b="1" baseline="0">
              <a:solidFill>
                <a:srgbClr val="FF2F92"/>
              </a:solidFill>
            </a:rPr>
            <a:t> INDEX </a:t>
          </a:r>
          <a:r>
            <a:rPr lang="fr-FR" sz="1400" baseline="0"/>
            <a:t>: </a:t>
          </a:r>
          <a:br>
            <a:rPr lang="fr-FR" sz="1400" baseline="0"/>
          </a:br>
          <a:r>
            <a:rPr lang="fr-FR" sz="1400"/>
            <a:t>Les indicateurs sont calculés à partir des données de la période de référence annuelle que l’employeur a choisie. Cette période de référence, de 12 mois consécutifs, est celle qui précède l’année de publication : elle doit donc nécessairement s’achever au plus tard le 31 décembre 2018 pour un Index publié en 2019. Ainsi, si l’entreprise de plus de 1000 salariés a choisi l’année civile comme année de référence, les données seront celles du 1</a:t>
          </a:r>
          <a:r>
            <a:rPr lang="fr-FR" sz="1400" baseline="30000"/>
            <a:t>er</a:t>
          </a:r>
          <a:r>
            <a:rPr lang="fr-FR" sz="1400"/>
            <a:t> janvier 2018 au 31 décembre 2018, pour une publication au 1</a:t>
          </a:r>
          <a:r>
            <a:rPr lang="fr-FR" sz="1400" baseline="30000"/>
            <a:t>er</a:t>
          </a:r>
          <a:r>
            <a:rPr lang="fr-FR" sz="1400"/>
            <a:t> mars 2019. La période de référence peut également aller du 1</a:t>
          </a:r>
          <a:r>
            <a:rPr lang="fr-FR" sz="1400" baseline="30000"/>
            <a:t>er</a:t>
          </a:r>
          <a:r>
            <a:rPr lang="fr-FR" sz="1400"/>
            <a:t> juin 2017 au 31 mai 2018, mais pas du 1</a:t>
          </a:r>
          <a:r>
            <a:rPr lang="fr-FR" sz="1400" baseline="30000"/>
            <a:t>er</a:t>
          </a:r>
          <a:r>
            <a:rPr lang="fr-FR" sz="1400"/>
            <a:t> janvier 2017 au 31 décembre 2017 pour une publication en 2019 . La même faculté est laissée aux entreprises de plus de 250 salariés et de moins de 1000 salariés, assujetties à l’obligation de publication au 1</a:t>
          </a:r>
          <a:r>
            <a:rPr lang="fr-FR" sz="1400" baseline="30000"/>
            <a:t>er</a:t>
          </a:r>
          <a:r>
            <a:rPr lang="fr-FR" sz="1400"/>
            <a:t> septembre 2019. </a:t>
          </a:r>
          <a:br>
            <a:rPr lang="fr-FR" sz="1400"/>
          </a:br>
          <a:br>
            <a:rPr lang="fr-FR" sz="1400"/>
          </a:br>
          <a:r>
            <a:rPr lang="fr-FR" sz="1400" u="sng">
              <a:solidFill>
                <a:srgbClr val="FF2F92"/>
              </a:solidFill>
            </a:rPr>
            <a:t>Pour aller plus loin</a:t>
          </a:r>
        </a:p>
      </xdr:txBody>
    </xdr:sp>
    <xdr:clientData/>
  </xdr:twoCellAnchor>
  <xdr:twoCellAnchor>
    <xdr:from>
      <xdr:col>5</xdr:col>
      <xdr:colOff>570392</xdr:colOff>
      <xdr:row>7</xdr:row>
      <xdr:rowOff>103372</xdr:rowOff>
    </xdr:from>
    <xdr:to>
      <xdr:col>11</xdr:col>
      <xdr:colOff>110017</xdr:colOff>
      <xdr:row>12</xdr:row>
      <xdr:rowOff>88604</xdr:rowOff>
    </xdr:to>
    <xdr:sp macro="" textlink="">
      <xdr:nvSpPr>
        <xdr:cNvPr id="4" name="ZoneTexte 3">
          <a:hlinkClick xmlns:r="http://schemas.openxmlformats.org/officeDocument/2006/relationships" r:id="rId2"/>
          <a:extLst>
            <a:ext uri="{FF2B5EF4-FFF2-40B4-BE49-F238E27FC236}">
              <a16:creationId xmlns:a16="http://schemas.microsoft.com/office/drawing/2014/main" id="{BE6D78CE-986F-AC46-8FB8-F5627DAA119C}"/>
            </a:ext>
          </a:extLst>
        </xdr:cNvPr>
        <xdr:cNvSpPr txBox="1"/>
      </xdr:nvSpPr>
      <xdr:spPr>
        <a:xfrm>
          <a:off x="7200973" y="2451395"/>
          <a:ext cx="5579509" cy="3204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rgbClr val="FF2F92"/>
              </a:solidFill>
            </a:rPr>
            <a:t>EFFECTIF A PRENDRE EN COMPTE POUR LE CALCUL DES</a:t>
          </a:r>
          <a:r>
            <a:rPr lang="fr-FR" sz="1600" b="1" baseline="0">
              <a:solidFill>
                <a:srgbClr val="FF2F92"/>
              </a:solidFill>
            </a:rPr>
            <a:t> INDICATEURS : </a:t>
          </a:r>
          <a:r>
            <a:rPr lang="fr-FR" sz="1400"/>
            <a:t>L’effectif des salariés à prendre en compte pour le calcul des indicateurs est apprécié sur la période de référence annuelle choisie par l’employeur. Sont obligatoirement exclus de ce périmètre : les apprentis, les titulaires d’un contrat de professionnalisation, les salariés mis à la disposition de l’entreprise par une entreprise extérieure (dont les intérimaires), les salariés expatriés, ainsi que les salariés absents plus de la moitié de la période de référence annuelle considérée (sauf pour le calcul de l’indicateur relatif au retour de congé maternité - </a:t>
          </a:r>
          <a:r>
            <a:rPr lang="fr-FR" sz="1400" b="1"/>
            <a:t>cf. rubrique G</a:t>
          </a:r>
          <a:r>
            <a:rPr lang="fr-FR" sz="1400"/>
            <a:t>).</a:t>
          </a:r>
          <a:r>
            <a:rPr lang="fr-FR" sz="1400" baseline="0"/>
            <a:t> </a:t>
          </a:r>
          <a:r>
            <a:rPr lang="fr-FR" sz="1400"/>
            <a:t>Les salariés en pré-retraite, bien qu’ils apparaissent dans les effectifs, sont rémunérés mais ne sont pas présents, sont par ailleurs exclus. </a:t>
          </a:r>
          <a:br>
            <a:rPr lang="fr-FR" sz="1400"/>
          </a:br>
          <a:br>
            <a:rPr lang="fr-FR" sz="1400"/>
          </a:br>
          <a:r>
            <a:rPr lang="fr-FR" sz="1400" u="sng">
              <a:solidFill>
                <a:srgbClr val="FF2F92"/>
              </a:solidFill>
            </a:rPr>
            <a:t>Pour en savoir plus</a:t>
          </a:r>
        </a:p>
        <a:p>
          <a:endParaRPr lang="fr-FR" sz="1100"/>
        </a:p>
      </xdr:txBody>
    </xdr:sp>
    <xdr:clientData/>
  </xdr:twoCellAnchor>
  <xdr:twoCellAnchor>
    <xdr:from>
      <xdr:col>1</xdr:col>
      <xdr:colOff>206376</xdr:colOff>
      <xdr:row>6</xdr:row>
      <xdr:rowOff>22224</xdr:rowOff>
    </xdr:from>
    <xdr:to>
      <xdr:col>1</xdr:col>
      <xdr:colOff>762001</xdr:colOff>
      <xdr:row>8</xdr:row>
      <xdr:rowOff>44449</xdr:rowOff>
    </xdr:to>
    <xdr:sp macro="" textlink="">
      <xdr:nvSpPr>
        <xdr:cNvPr id="14" name="Flèche angle droit à deux pointes 13">
          <a:extLst>
            <a:ext uri="{FF2B5EF4-FFF2-40B4-BE49-F238E27FC236}">
              <a16:creationId xmlns:a16="http://schemas.microsoft.com/office/drawing/2014/main" id="{04F47488-82AE-A046-8154-504BAE2F4A6C}"/>
            </a:ext>
          </a:extLst>
        </xdr:cNvPr>
        <xdr:cNvSpPr/>
      </xdr:nvSpPr>
      <xdr:spPr bwMode="auto">
        <a:xfrm rot="16200000">
          <a:off x="2536826" y="1438274"/>
          <a:ext cx="390525" cy="555625"/>
        </a:xfrm>
        <a:prstGeom prst="leftUpArrow">
          <a:avLst>
            <a:gd name="adj1" fmla="val 10965"/>
            <a:gd name="adj2" fmla="val 25000"/>
            <a:gd name="adj3" fmla="val 25000"/>
          </a:avLst>
        </a:prstGeom>
        <a:solidFill>
          <a:srgbClr val="FF3399"/>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endParaRPr lang="fr-FR"/>
        </a:p>
      </xdr:txBody>
    </xdr:sp>
    <xdr:clientData/>
  </xdr:twoCellAnchor>
  <xdr:twoCellAnchor>
    <xdr:from>
      <xdr:col>11</xdr:col>
      <xdr:colOff>37059</xdr:colOff>
      <xdr:row>10</xdr:row>
      <xdr:rowOff>1852112</xdr:rowOff>
    </xdr:from>
    <xdr:to>
      <xdr:col>11</xdr:col>
      <xdr:colOff>592684</xdr:colOff>
      <xdr:row>12</xdr:row>
      <xdr:rowOff>228599</xdr:rowOff>
    </xdr:to>
    <xdr:sp macro="" textlink="">
      <xdr:nvSpPr>
        <xdr:cNvPr id="15" name="Flèche angle droit à deux pointes 14">
          <a:extLst>
            <a:ext uri="{FF2B5EF4-FFF2-40B4-BE49-F238E27FC236}">
              <a16:creationId xmlns:a16="http://schemas.microsoft.com/office/drawing/2014/main" id="{A356177A-C95D-8340-B71A-813F0F6DCEA8}"/>
            </a:ext>
          </a:extLst>
        </xdr:cNvPr>
        <xdr:cNvSpPr/>
      </xdr:nvSpPr>
      <xdr:spPr bwMode="auto">
        <a:xfrm rot="16200000">
          <a:off x="13445628" y="5334543"/>
          <a:ext cx="891087" cy="555625"/>
        </a:xfrm>
        <a:prstGeom prst="leftUpArrow">
          <a:avLst>
            <a:gd name="adj1" fmla="val 15536"/>
            <a:gd name="adj2" fmla="val 25000"/>
            <a:gd name="adj3" fmla="val 25000"/>
          </a:avLst>
        </a:prstGeom>
        <a:solidFill>
          <a:srgbClr val="FF3399"/>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endParaRPr lang="fr-FR"/>
        </a:p>
      </xdr:txBody>
    </xdr:sp>
    <xdr:clientData/>
  </xdr:twoCellAnchor>
  <xdr:twoCellAnchor>
    <xdr:from>
      <xdr:col>20</xdr:col>
      <xdr:colOff>19050</xdr:colOff>
      <xdr:row>13</xdr:row>
      <xdr:rowOff>47625</xdr:rowOff>
    </xdr:from>
    <xdr:to>
      <xdr:col>20</xdr:col>
      <xdr:colOff>1803399</xdr:colOff>
      <xdr:row>13</xdr:row>
      <xdr:rowOff>523875</xdr:rowOff>
    </xdr:to>
    <xdr:sp macro="" textlink="">
      <xdr:nvSpPr>
        <xdr:cNvPr id="8" name="Rectangle 7">
          <a:extLst>
            <a:ext uri="{FF2B5EF4-FFF2-40B4-BE49-F238E27FC236}">
              <a16:creationId xmlns:a16="http://schemas.microsoft.com/office/drawing/2014/main" id="{2B84DD5E-DF43-433D-B2C1-1AF6F933CD7C}"/>
            </a:ext>
          </a:extLst>
        </xdr:cNvPr>
        <xdr:cNvSpPr/>
      </xdr:nvSpPr>
      <xdr:spPr bwMode="auto">
        <a:xfrm>
          <a:off x="23679150" y="6296025"/>
          <a:ext cx="1784349" cy="4762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fr-FR" sz="1100" b="1">
              <a:solidFill>
                <a:schemeClr val="bg1"/>
              </a:solidFill>
              <a:latin typeface="Arial" panose="020B0604020202020204" pitchFamily="34" charset="0"/>
              <a:cs typeface="Arial" panose="020B0604020202020204" pitchFamily="34" charset="0"/>
            </a:rPr>
            <a:t>REMUNERATION DE BASE ANNUELLE</a:t>
          </a:r>
        </a:p>
      </xdr:txBody>
    </xdr:sp>
    <xdr:clientData/>
  </xdr:twoCellAnchor>
  <xdr:twoCellAnchor>
    <xdr:from>
      <xdr:col>8</xdr:col>
      <xdr:colOff>127000</xdr:colOff>
      <xdr:row>1</xdr:row>
      <xdr:rowOff>114300</xdr:rowOff>
    </xdr:from>
    <xdr:to>
      <xdr:col>9</xdr:col>
      <xdr:colOff>25400</xdr:colOff>
      <xdr:row>3</xdr:row>
      <xdr:rowOff>76200</xdr:rowOff>
    </xdr:to>
    <xdr:sp macro="" textlink="">
      <xdr:nvSpPr>
        <xdr:cNvPr id="2" name="Flèche vers la gauche 1">
          <a:extLst>
            <a:ext uri="{FF2B5EF4-FFF2-40B4-BE49-F238E27FC236}">
              <a16:creationId xmlns:a16="http://schemas.microsoft.com/office/drawing/2014/main" id="{E2E1813B-6302-2E4F-89ED-B90E1754D522}"/>
            </a:ext>
          </a:extLst>
        </xdr:cNvPr>
        <xdr:cNvSpPr/>
      </xdr:nvSpPr>
      <xdr:spPr bwMode="auto">
        <a:xfrm>
          <a:off x="10033000" y="317500"/>
          <a:ext cx="876300" cy="330200"/>
        </a:xfrm>
        <a:prstGeom prst="leftArrow">
          <a:avLst>
            <a:gd name="adj1" fmla="val 39474"/>
            <a:gd name="adj2" fmla="val 50000"/>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fr-FR" sz="1200" b="0">
            <a:solidFill>
              <a:schemeClr val="bg1"/>
            </a:solidFill>
          </a:endParaRPr>
        </a:p>
      </xdr:txBody>
    </xdr:sp>
    <xdr:clientData/>
  </xdr:twoCellAnchor>
  <xdr:twoCellAnchor>
    <xdr:from>
      <xdr:col>32</xdr:col>
      <xdr:colOff>811760</xdr:colOff>
      <xdr:row>10</xdr:row>
      <xdr:rowOff>2006599</xdr:rowOff>
    </xdr:from>
    <xdr:to>
      <xdr:col>32</xdr:col>
      <xdr:colOff>1367385</xdr:colOff>
      <xdr:row>12</xdr:row>
      <xdr:rowOff>304795</xdr:rowOff>
    </xdr:to>
    <xdr:sp macro="" textlink="">
      <xdr:nvSpPr>
        <xdr:cNvPr id="13" name="Flèche angle droit à deux pointes 12">
          <a:extLst>
            <a:ext uri="{FF2B5EF4-FFF2-40B4-BE49-F238E27FC236}">
              <a16:creationId xmlns:a16="http://schemas.microsoft.com/office/drawing/2014/main" id="{50EC169A-9767-9B40-B09D-4E9F0B18FB83}"/>
            </a:ext>
          </a:extLst>
        </xdr:cNvPr>
        <xdr:cNvSpPr/>
      </xdr:nvSpPr>
      <xdr:spPr bwMode="auto">
        <a:xfrm rot="16200000">
          <a:off x="36573375" y="4332284"/>
          <a:ext cx="812796" cy="555625"/>
        </a:xfrm>
        <a:prstGeom prst="leftUpArrow">
          <a:avLst>
            <a:gd name="adj1" fmla="val 15536"/>
            <a:gd name="adj2" fmla="val 25000"/>
            <a:gd name="adj3" fmla="val 25000"/>
          </a:avLst>
        </a:prstGeom>
        <a:solidFill>
          <a:srgbClr val="FF3399"/>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endParaRPr lang="fr-F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342900</xdr:rowOff>
    </xdr:from>
    <xdr:to>
      <xdr:col>3</xdr:col>
      <xdr:colOff>84668</xdr:colOff>
      <xdr:row>2</xdr:row>
      <xdr:rowOff>50800</xdr:rowOff>
    </xdr:to>
    <xdr:pic>
      <xdr:nvPicPr>
        <xdr:cNvPr id="2" name="Image 4" descr="Description : logo_reseau_quadri.jpg">
          <a:extLst>
            <a:ext uri="{FF2B5EF4-FFF2-40B4-BE49-F238E27FC236}">
              <a16:creationId xmlns:a16="http://schemas.microsoft.com/office/drawing/2014/main" id="{1A7B6036-8DBB-034B-B8B2-BE7AE8740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342900"/>
          <a:ext cx="1151468"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0</xdr:row>
      <xdr:rowOff>242256</xdr:rowOff>
    </xdr:from>
    <xdr:to>
      <xdr:col>3</xdr:col>
      <xdr:colOff>247343</xdr:colOff>
      <xdr:row>0</xdr:row>
      <xdr:rowOff>794706</xdr:rowOff>
    </xdr:to>
    <xdr:pic>
      <xdr:nvPicPr>
        <xdr:cNvPr id="64043088" name="Image 11" descr="Description : logo_reseau_quadri.jpg">
          <a:extLst>
            <a:ext uri="{FF2B5EF4-FFF2-40B4-BE49-F238E27FC236}">
              <a16:creationId xmlns:a16="http://schemas.microsoft.com/office/drawing/2014/main" id="{75EB8D4C-5466-D340-A378-9B06F20E4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0" y="242256"/>
          <a:ext cx="1187143"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88900</xdr:colOff>
      <xdr:row>19</xdr:row>
      <xdr:rowOff>88900</xdr:rowOff>
    </xdr:from>
    <xdr:to>
      <xdr:col>12</xdr:col>
      <xdr:colOff>1257300</xdr:colOff>
      <xdr:row>19</xdr:row>
      <xdr:rowOff>304800</xdr:rowOff>
    </xdr:to>
    <xdr:sp macro="" textlink="">
      <xdr:nvSpPr>
        <xdr:cNvPr id="5" name="Flèche vers la gauche 4">
          <a:extLst>
            <a:ext uri="{FF2B5EF4-FFF2-40B4-BE49-F238E27FC236}">
              <a16:creationId xmlns:a16="http://schemas.microsoft.com/office/drawing/2014/main" id="{DCA8A37D-7F62-5241-A5B9-7C2330DA0574}"/>
            </a:ext>
          </a:extLst>
        </xdr:cNvPr>
        <xdr:cNvSpPr/>
      </xdr:nvSpPr>
      <xdr:spPr bwMode="auto">
        <a:xfrm>
          <a:off x="10807700" y="5410200"/>
          <a:ext cx="1168400" cy="215900"/>
        </a:xfrm>
        <a:prstGeom prst="leftArrow">
          <a:avLst>
            <a:gd name="adj1" fmla="val 39474"/>
            <a:gd name="adj2" fmla="val 50000"/>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fr-FR" sz="1200" b="0">
            <a:solidFill>
              <a:schemeClr val="bg1"/>
            </a:solidFill>
          </a:endParaRPr>
        </a:p>
      </xdr:txBody>
    </xdr:sp>
    <xdr:clientData/>
  </xdr:twoCellAnchor>
  <xdr:twoCellAnchor editAs="oneCell">
    <xdr:from>
      <xdr:col>18</xdr:col>
      <xdr:colOff>838200</xdr:colOff>
      <xdr:row>1</xdr:row>
      <xdr:rowOff>152400</xdr:rowOff>
    </xdr:from>
    <xdr:to>
      <xdr:col>18</xdr:col>
      <xdr:colOff>2857500</xdr:colOff>
      <xdr:row>9</xdr:row>
      <xdr:rowOff>81254</xdr:rowOff>
    </xdr:to>
    <xdr:pic>
      <xdr:nvPicPr>
        <xdr:cNvPr id="6" name="Image 5">
          <a:extLst>
            <a:ext uri="{FF2B5EF4-FFF2-40B4-BE49-F238E27FC236}">
              <a16:creationId xmlns:a16="http://schemas.microsoft.com/office/drawing/2014/main" id="{C2B61422-E473-9B4F-A0B0-B39652D7D1F7}"/>
            </a:ext>
          </a:extLst>
        </xdr:cNvPr>
        <xdr:cNvPicPr>
          <a:picLocks noChangeAspect="1"/>
        </xdr:cNvPicPr>
      </xdr:nvPicPr>
      <xdr:blipFill>
        <a:blip xmlns:r="http://schemas.openxmlformats.org/officeDocument/2006/relationships" r:embed="rId2"/>
        <a:stretch>
          <a:fillRect/>
        </a:stretch>
      </xdr:blipFill>
      <xdr:spPr>
        <a:xfrm>
          <a:off x="16903700" y="952500"/>
          <a:ext cx="2019300" cy="1833854"/>
        </a:xfrm>
        <a:prstGeom prst="rect">
          <a:avLst/>
        </a:prstGeom>
      </xdr:spPr>
    </xdr:pic>
    <xdr:clientData/>
  </xdr:twoCellAnchor>
  <xdr:twoCellAnchor>
    <xdr:from>
      <xdr:col>10</xdr:col>
      <xdr:colOff>939800</xdr:colOff>
      <xdr:row>4</xdr:row>
      <xdr:rowOff>114300</xdr:rowOff>
    </xdr:from>
    <xdr:to>
      <xdr:col>18</xdr:col>
      <xdr:colOff>558800</xdr:colOff>
      <xdr:row>7</xdr:row>
      <xdr:rowOff>149092</xdr:rowOff>
    </xdr:to>
    <xdr:sp macro="" textlink="">
      <xdr:nvSpPr>
        <xdr:cNvPr id="7" name="ZoneTexte 6">
          <a:extLst>
            <a:ext uri="{FF2B5EF4-FFF2-40B4-BE49-F238E27FC236}">
              <a16:creationId xmlns:a16="http://schemas.microsoft.com/office/drawing/2014/main" id="{A5B33C6C-7228-1C4A-B410-836CD0CD99F0}"/>
            </a:ext>
          </a:extLst>
        </xdr:cNvPr>
        <xdr:cNvSpPr txBox="1"/>
      </xdr:nvSpPr>
      <xdr:spPr>
        <a:xfrm>
          <a:off x="9245600" y="1320800"/>
          <a:ext cx="7378700" cy="860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400" b="0">
              <a:latin typeface="Ubuntu" panose="020B0504030602030204" pitchFamily="34" charset="0"/>
            </a:rPr>
            <a:t>Ces tableaux ont été produits par le Ministère du Travail pour les entreprises</a:t>
          </a:r>
        </a:p>
        <a:p>
          <a:pPr algn="r"/>
          <a:r>
            <a:rPr lang="fr-FR" sz="1400" b="0">
              <a:latin typeface="Ubuntu" panose="020B0504030602030204" pitchFamily="34" charset="0"/>
            </a:rPr>
            <a:t>L'Anact propose un calcul automatique à partir de la feuille de données de l'outil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0</xdr:row>
      <xdr:rowOff>342900</xdr:rowOff>
    </xdr:from>
    <xdr:to>
      <xdr:col>2</xdr:col>
      <xdr:colOff>151235</xdr:colOff>
      <xdr:row>1</xdr:row>
      <xdr:rowOff>12700</xdr:rowOff>
    </xdr:to>
    <xdr:pic>
      <xdr:nvPicPr>
        <xdr:cNvPr id="64044112" name="Image 11" descr="Description : logo_reseau_quadri.jpg">
          <a:extLst>
            <a:ext uri="{FF2B5EF4-FFF2-40B4-BE49-F238E27FC236}">
              <a16:creationId xmlns:a16="http://schemas.microsoft.com/office/drawing/2014/main" id="{DE75286D-5BF4-0A4A-B32D-75E48A66B9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342900"/>
          <a:ext cx="9652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7</xdr:row>
      <xdr:rowOff>169334</xdr:rowOff>
    </xdr:from>
    <xdr:to>
      <xdr:col>19</xdr:col>
      <xdr:colOff>635000</xdr:colOff>
      <xdr:row>7</xdr:row>
      <xdr:rowOff>740833</xdr:rowOff>
    </xdr:to>
    <xdr:sp macro="" textlink="">
      <xdr:nvSpPr>
        <xdr:cNvPr id="2" name="ZoneTexte 1">
          <a:extLst>
            <a:ext uri="{FF2B5EF4-FFF2-40B4-BE49-F238E27FC236}">
              <a16:creationId xmlns:a16="http://schemas.microsoft.com/office/drawing/2014/main" id="{2554E0AE-10F3-914C-A7E1-FFB580BC2457}"/>
            </a:ext>
          </a:extLst>
        </xdr:cNvPr>
        <xdr:cNvSpPr txBox="1"/>
      </xdr:nvSpPr>
      <xdr:spPr>
        <a:xfrm>
          <a:off x="5185833" y="2836334"/>
          <a:ext cx="11345334"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400" b="1">
              <a:solidFill>
                <a:srgbClr val="FF2F92"/>
              </a:solidFill>
            </a:rPr>
            <a:t>Pour les</a:t>
          </a:r>
          <a:r>
            <a:rPr lang="fr-FR" sz="1400" b="1" baseline="0">
              <a:solidFill>
                <a:srgbClr val="FF2F92"/>
              </a:solidFill>
            </a:rPr>
            <a:t> entreprises de 50 à 250 salariés, cet indicateur peut être calculé sur une période de référence pluri annuelle (2 ou 3 ans). Le calcul automatique n'est pas proposé ici par l'outil</a:t>
          </a:r>
          <a:r>
            <a:rPr lang="fr-FR" sz="1200" b="1" baseline="0"/>
            <a:t>.</a:t>
          </a:r>
          <a:endParaRPr lang="fr-FR" sz="1200" b="1"/>
        </a:p>
      </xdr:txBody>
    </xdr:sp>
    <xdr:clientData/>
  </xdr:twoCellAnchor>
  <xdr:twoCellAnchor editAs="oneCell">
    <xdr:from>
      <xdr:col>20</xdr:col>
      <xdr:colOff>139700</xdr:colOff>
      <xdr:row>1</xdr:row>
      <xdr:rowOff>190500</xdr:rowOff>
    </xdr:from>
    <xdr:to>
      <xdr:col>20</xdr:col>
      <xdr:colOff>2159000</xdr:colOff>
      <xdr:row>7</xdr:row>
      <xdr:rowOff>576554</xdr:rowOff>
    </xdr:to>
    <xdr:pic>
      <xdr:nvPicPr>
        <xdr:cNvPr id="7" name="Image 6">
          <a:extLst>
            <a:ext uri="{FF2B5EF4-FFF2-40B4-BE49-F238E27FC236}">
              <a16:creationId xmlns:a16="http://schemas.microsoft.com/office/drawing/2014/main" id="{00AE6AEA-05A0-9D40-A166-DD95B0F4AD54}"/>
            </a:ext>
          </a:extLst>
        </xdr:cNvPr>
        <xdr:cNvPicPr>
          <a:picLocks noChangeAspect="1"/>
        </xdr:cNvPicPr>
      </xdr:nvPicPr>
      <xdr:blipFill>
        <a:blip xmlns:r="http://schemas.openxmlformats.org/officeDocument/2006/relationships" r:embed="rId2"/>
        <a:stretch>
          <a:fillRect/>
        </a:stretch>
      </xdr:blipFill>
      <xdr:spPr>
        <a:xfrm>
          <a:off x="18338800" y="990600"/>
          <a:ext cx="2019300" cy="1833854"/>
        </a:xfrm>
        <a:prstGeom prst="rect">
          <a:avLst/>
        </a:prstGeom>
      </xdr:spPr>
    </xdr:pic>
    <xdr:clientData/>
  </xdr:twoCellAnchor>
  <xdr:twoCellAnchor>
    <xdr:from>
      <xdr:col>12</xdr:col>
      <xdr:colOff>1079500</xdr:colOff>
      <xdr:row>3</xdr:row>
      <xdr:rowOff>63500</xdr:rowOff>
    </xdr:from>
    <xdr:to>
      <xdr:col>20</xdr:col>
      <xdr:colOff>25400</xdr:colOff>
      <xdr:row>6</xdr:row>
      <xdr:rowOff>339592</xdr:rowOff>
    </xdr:to>
    <xdr:sp macro="" textlink="">
      <xdr:nvSpPr>
        <xdr:cNvPr id="8" name="ZoneTexte 7">
          <a:extLst>
            <a:ext uri="{FF2B5EF4-FFF2-40B4-BE49-F238E27FC236}">
              <a16:creationId xmlns:a16="http://schemas.microsoft.com/office/drawing/2014/main" id="{F304DC77-0DD6-D141-8FCA-9FD70706DB57}"/>
            </a:ext>
          </a:extLst>
        </xdr:cNvPr>
        <xdr:cNvSpPr txBox="1"/>
      </xdr:nvSpPr>
      <xdr:spPr>
        <a:xfrm>
          <a:off x="10845800" y="1371600"/>
          <a:ext cx="7378700" cy="860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400" b="0">
              <a:latin typeface="Ubuntu" panose="020B0504030602030204" pitchFamily="34" charset="0"/>
            </a:rPr>
            <a:t>Ces tableaux ont été produits par le Ministère du Travail pour les entreprises</a:t>
          </a:r>
        </a:p>
        <a:p>
          <a:pPr algn="r"/>
          <a:r>
            <a:rPr lang="fr-FR" sz="1400" b="0">
              <a:latin typeface="Ubuntu" panose="020B0504030602030204" pitchFamily="34" charset="0"/>
            </a:rPr>
            <a:t>L'Anact propose un calcul automatique à partir de la feuille de données de l'outil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0</xdr:row>
      <xdr:rowOff>355600</xdr:rowOff>
    </xdr:from>
    <xdr:to>
      <xdr:col>2</xdr:col>
      <xdr:colOff>190500</xdr:colOff>
      <xdr:row>1</xdr:row>
      <xdr:rowOff>12700</xdr:rowOff>
    </xdr:to>
    <xdr:pic>
      <xdr:nvPicPr>
        <xdr:cNvPr id="64045116" name="Image 11" descr="Description : logo_reseau_quadri.jpg">
          <a:extLst>
            <a:ext uri="{FF2B5EF4-FFF2-40B4-BE49-F238E27FC236}">
              <a16:creationId xmlns:a16="http://schemas.microsoft.com/office/drawing/2014/main" id="{FFAEC702-40FA-5240-A5C2-742510F3BB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355600"/>
          <a:ext cx="1003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749299</xdr:colOff>
      <xdr:row>2</xdr:row>
      <xdr:rowOff>139700</xdr:rowOff>
    </xdr:from>
    <xdr:to>
      <xdr:col>19</xdr:col>
      <xdr:colOff>25399</xdr:colOff>
      <xdr:row>8</xdr:row>
      <xdr:rowOff>306679</xdr:rowOff>
    </xdr:to>
    <xdr:pic>
      <xdr:nvPicPr>
        <xdr:cNvPr id="7" name="Image 6">
          <a:extLst>
            <a:ext uri="{FF2B5EF4-FFF2-40B4-BE49-F238E27FC236}">
              <a16:creationId xmlns:a16="http://schemas.microsoft.com/office/drawing/2014/main" id="{51B4721E-C33C-264B-A46A-0403CD1F8BEA}"/>
            </a:ext>
          </a:extLst>
        </xdr:cNvPr>
        <xdr:cNvPicPr>
          <a:picLocks noChangeAspect="1"/>
        </xdr:cNvPicPr>
      </xdr:nvPicPr>
      <xdr:blipFill>
        <a:blip xmlns:r="http://schemas.openxmlformats.org/officeDocument/2006/relationships" r:embed="rId2"/>
        <a:stretch>
          <a:fillRect/>
        </a:stretch>
      </xdr:blipFill>
      <xdr:spPr>
        <a:xfrm>
          <a:off x="18656299" y="1104900"/>
          <a:ext cx="2019300" cy="1833854"/>
        </a:xfrm>
        <a:prstGeom prst="rect">
          <a:avLst/>
        </a:prstGeom>
      </xdr:spPr>
    </xdr:pic>
    <xdr:clientData/>
  </xdr:twoCellAnchor>
  <xdr:twoCellAnchor>
    <xdr:from>
      <xdr:col>11</xdr:col>
      <xdr:colOff>1104900</xdr:colOff>
      <xdr:row>5</xdr:row>
      <xdr:rowOff>25400</xdr:rowOff>
    </xdr:from>
    <xdr:to>
      <xdr:col>18</xdr:col>
      <xdr:colOff>571500</xdr:colOff>
      <xdr:row>7</xdr:row>
      <xdr:rowOff>276092</xdr:rowOff>
    </xdr:to>
    <xdr:sp macro="" textlink="">
      <xdr:nvSpPr>
        <xdr:cNvPr id="8" name="ZoneTexte 7">
          <a:extLst>
            <a:ext uri="{FF2B5EF4-FFF2-40B4-BE49-F238E27FC236}">
              <a16:creationId xmlns:a16="http://schemas.microsoft.com/office/drawing/2014/main" id="{E2903871-C4CC-CE47-8335-30F71F8D466E}"/>
            </a:ext>
          </a:extLst>
        </xdr:cNvPr>
        <xdr:cNvSpPr txBox="1"/>
      </xdr:nvSpPr>
      <xdr:spPr>
        <a:xfrm>
          <a:off x="11099800" y="1485900"/>
          <a:ext cx="7378700" cy="860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400" b="0">
              <a:latin typeface="Ubuntu" panose="020B0504030602030204" pitchFamily="34" charset="0"/>
            </a:rPr>
            <a:t>Ces tableaux ont été produits par le Ministère du Travail pour les entreprises</a:t>
          </a:r>
        </a:p>
        <a:p>
          <a:pPr algn="r"/>
          <a:r>
            <a:rPr lang="fr-FR" sz="1400" b="0">
              <a:latin typeface="Ubuntu" panose="020B0504030602030204" pitchFamily="34" charset="0"/>
            </a:rPr>
            <a:t>L'Anact propose un calcul automatique à partir de la feuille de données de l'outil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0</xdr:row>
      <xdr:rowOff>177800</xdr:rowOff>
    </xdr:from>
    <xdr:to>
      <xdr:col>2</xdr:col>
      <xdr:colOff>6794</xdr:colOff>
      <xdr:row>1</xdr:row>
      <xdr:rowOff>12700</xdr:rowOff>
    </xdr:to>
    <xdr:pic>
      <xdr:nvPicPr>
        <xdr:cNvPr id="64046140" name="Image 11" descr="Description : logo_reseau_quadri.jpg">
          <a:extLst>
            <a:ext uri="{FF2B5EF4-FFF2-40B4-BE49-F238E27FC236}">
              <a16:creationId xmlns:a16="http://schemas.microsoft.com/office/drawing/2014/main" id="{B46ADE3A-03CD-524B-A447-D03E1CB397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700" y="177800"/>
          <a:ext cx="8255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4610099</xdr:colOff>
      <xdr:row>1</xdr:row>
      <xdr:rowOff>127000</xdr:rowOff>
    </xdr:from>
    <xdr:to>
      <xdr:col>10</xdr:col>
      <xdr:colOff>800099</xdr:colOff>
      <xdr:row>6</xdr:row>
      <xdr:rowOff>119354</xdr:rowOff>
    </xdr:to>
    <xdr:pic>
      <xdr:nvPicPr>
        <xdr:cNvPr id="7" name="Image 6">
          <a:extLst>
            <a:ext uri="{FF2B5EF4-FFF2-40B4-BE49-F238E27FC236}">
              <a16:creationId xmlns:a16="http://schemas.microsoft.com/office/drawing/2014/main" id="{148E9EB7-0B6B-0A42-83FD-4E7574A17E78}"/>
            </a:ext>
          </a:extLst>
        </xdr:cNvPr>
        <xdr:cNvPicPr>
          <a:picLocks noChangeAspect="1"/>
        </xdr:cNvPicPr>
      </xdr:nvPicPr>
      <xdr:blipFill>
        <a:blip xmlns:r="http://schemas.openxmlformats.org/officeDocument/2006/relationships" r:embed="rId2"/>
        <a:stretch>
          <a:fillRect/>
        </a:stretch>
      </xdr:blipFill>
      <xdr:spPr>
        <a:xfrm>
          <a:off x="18554699" y="762000"/>
          <a:ext cx="2019300" cy="1833854"/>
        </a:xfrm>
        <a:prstGeom prst="rect">
          <a:avLst/>
        </a:prstGeom>
      </xdr:spPr>
    </xdr:pic>
    <xdr:clientData/>
  </xdr:twoCellAnchor>
  <xdr:twoCellAnchor>
    <xdr:from>
      <xdr:col>7</xdr:col>
      <xdr:colOff>241300</xdr:colOff>
      <xdr:row>1</xdr:row>
      <xdr:rowOff>495300</xdr:rowOff>
    </xdr:from>
    <xdr:to>
      <xdr:col>9</xdr:col>
      <xdr:colOff>4368800</xdr:colOff>
      <xdr:row>3</xdr:row>
      <xdr:rowOff>199892</xdr:rowOff>
    </xdr:to>
    <xdr:sp macro="" textlink="">
      <xdr:nvSpPr>
        <xdr:cNvPr id="8" name="ZoneTexte 7">
          <a:extLst>
            <a:ext uri="{FF2B5EF4-FFF2-40B4-BE49-F238E27FC236}">
              <a16:creationId xmlns:a16="http://schemas.microsoft.com/office/drawing/2014/main" id="{6EF984AB-35B7-9C47-B69D-B29D4892DF69}"/>
            </a:ext>
          </a:extLst>
        </xdr:cNvPr>
        <xdr:cNvSpPr txBox="1"/>
      </xdr:nvSpPr>
      <xdr:spPr>
        <a:xfrm>
          <a:off x="10934700" y="1130300"/>
          <a:ext cx="7378700" cy="860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400" b="0">
              <a:latin typeface="Ubuntu" panose="020B0504030602030204" pitchFamily="34" charset="0"/>
            </a:rPr>
            <a:t>Ces tableaux ont été produits par le Ministère du Travail pour les entreprises</a:t>
          </a:r>
        </a:p>
        <a:p>
          <a:pPr algn="r"/>
          <a:r>
            <a:rPr lang="fr-FR" sz="1400" b="0">
              <a:latin typeface="Ubuntu" panose="020B0504030602030204" pitchFamily="34" charset="0"/>
            </a:rPr>
            <a:t>L'Anact propose un calcul automatique à partir de la feuille de données de l'outil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12700</xdr:colOff>
      <xdr:row>0</xdr:row>
      <xdr:rowOff>190500</xdr:rowOff>
    </xdr:from>
    <xdr:to>
      <xdr:col>2</xdr:col>
      <xdr:colOff>71437</xdr:colOff>
      <xdr:row>1</xdr:row>
      <xdr:rowOff>25400</xdr:rowOff>
    </xdr:to>
    <xdr:pic>
      <xdr:nvPicPr>
        <xdr:cNvPr id="64047184" name="Image 11" descr="Description : logo_reseau_quadri.jpg">
          <a:extLst>
            <a:ext uri="{FF2B5EF4-FFF2-40B4-BE49-F238E27FC236}">
              <a16:creationId xmlns:a16="http://schemas.microsoft.com/office/drawing/2014/main" id="{15475A86-8953-DB41-BC20-96A7B8201F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90500"/>
          <a:ext cx="8763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190499</xdr:colOff>
      <xdr:row>1</xdr:row>
      <xdr:rowOff>63500</xdr:rowOff>
    </xdr:from>
    <xdr:to>
      <xdr:col>16</xdr:col>
      <xdr:colOff>558799</xdr:colOff>
      <xdr:row>5</xdr:row>
      <xdr:rowOff>182854</xdr:rowOff>
    </xdr:to>
    <xdr:pic>
      <xdr:nvPicPr>
        <xdr:cNvPr id="7" name="Image 6">
          <a:extLst>
            <a:ext uri="{FF2B5EF4-FFF2-40B4-BE49-F238E27FC236}">
              <a16:creationId xmlns:a16="http://schemas.microsoft.com/office/drawing/2014/main" id="{A1E4B172-9C67-AA45-BA70-5C0986A30179}"/>
            </a:ext>
          </a:extLst>
        </xdr:cNvPr>
        <xdr:cNvPicPr>
          <a:picLocks noChangeAspect="1"/>
        </xdr:cNvPicPr>
      </xdr:nvPicPr>
      <xdr:blipFill>
        <a:blip xmlns:r="http://schemas.openxmlformats.org/officeDocument/2006/relationships" r:embed="rId2"/>
        <a:stretch>
          <a:fillRect/>
        </a:stretch>
      </xdr:blipFill>
      <xdr:spPr>
        <a:xfrm>
          <a:off x="17640299" y="698500"/>
          <a:ext cx="2019300" cy="1833854"/>
        </a:xfrm>
        <a:prstGeom prst="rect">
          <a:avLst/>
        </a:prstGeom>
      </xdr:spPr>
    </xdr:pic>
    <xdr:clientData/>
  </xdr:twoCellAnchor>
  <xdr:twoCellAnchor>
    <xdr:from>
      <xdr:col>6</xdr:col>
      <xdr:colOff>1003300</xdr:colOff>
      <xdr:row>1</xdr:row>
      <xdr:rowOff>431800</xdr:rowOff>
    </xdr:from>
    <xdr:to>
      <xdr:col>13</xdr:col>
      <xdr:colOff>711200</xdr:colOff>
      <xdr:row>3</xdr:row>
      <xdr:rowOff>352292</xdr:rowOff>
    </xdr:to>
    <xdr:sp macro="" textlink="">
      <xdr:nvSpPr>
        <xdr:cNvPr id="9" name="ZoneTexte 8">
          <a:extLst>
            <a:ext uri="{FF2B5EF4-FFF2-40B4-BE49-F238E27FC236}">
              <a16:creationId xmlns:a16="http://schemas.microsoft.com/office/drawing/2014/main" id="{7C7C643D-41A3-8E4B-9A92-AE6D32F7F81F}"/>
            </a:ext>
          </a:extLst>
        </xdr:cNvPr>
        <xdr:cNvSpPr txBox="1"/>
      </xdr:nvSpPr>
      <xdr:spPr>
        <a:xfrm>
          <a:off x="9956800" y="1066800"/>
          <a:ext cx="7378700" cy="860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400" b="0">
              <a:latin typeface="Ubuntu" panose="020B0504030602030204" pitchFamily="34" charset="0"/>
            </a:rPr>
            <a:t>Ces tableaux ont été produits par le Ministère du Travail pour les entreprises</a:t>
          </a:r>
        </a:p>
        <a:p>
          <a:pPr algn="r"/>
          <a:r>
            <a:rPr lang="fr-FR" sz="1400" b="0">
              <a:latin typeface="Ubuntu" panose="020B0504030602030204" pitchFamily="34" charset="0"/>
            </a:rPr>
            <a:t>L'Anact propose un calcul automatique à partir de la feuille de données de l'outil</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an-François Marzloff" refreshedDate="44161.498261342589" createdVersion="6" refreshedVersion="6" recordCount="786" xr:uid="{00000000-000A-0000-FFFF-FFFF47040000}">
  <cacheSource type="worksheet">
    <worksheetSource ref="A14:AG334" sheet="DONNEES"/>
  </cacheSource>
  <cacheFields count="33">
    <cacheField name="NOM" numFmtId="49">
      <sharedItems containsBlank="1"/>
    </cacheField>
    <cacheField name="SEXE" numFmtId="49">
      <sharedItems containsBlank="1"/>
    </cacheField>
    <cacheField name="DATE NAISSANCE" numFmtId="14">
      <sharedItems containsNonDate="0" containsDate="1" containsString="0" containsBlank="1" minDate="1957-11-01T00:00:00" maxDate="2001-09-05T00:00:00"/>
    </cacheField>
    <cacheField name="DATE EMBAUCHE" numFmtId="14">
      <sharedItems containsNonDate="0" containsDate="1" containsString="0" containsBlank="1" minDate="1975-12-19T00:00:00" maxDate="2017-09-26T00:00:00"/>
    </cacheField>
    <cacheField name="DIPLÔME" numFmtId="0">
      <sharedItems containsBlank="1"/>
    </cacheField>
    <cacheField name="CATEGORIE" numFmtId="0">
      <sharedItems containsBlank="1"/>
    </cacheField>
    <cacheField name="COEF BRANCHE" numFmtId="14">
      <sharedItems containsBlank="1"/>
    </cacheField>
    <cacheField name="NOUVELLE COTATION PROPRE" numFmtId="14">
      <sharedItems containsBlank="1"/>
    </cacheField>
    <cacheField name="SERVICE" numFmtId="0">
      <sharedItems containsBlank="1"/>
    </cacheField>
    <cacheField name="METIER" numFmtId="0">
      <sharedItems containsBlank="1"/>
    </cacheField>
    <cacheField name="EMPLOI" numFmtId="49">
      <sharedItems containsBlank="1"/>
    </cacheField>
    <cacheField name="TYPE DE CONTRAT" numFmtId="49">
      <sharedItems containsBlank="1"/>
    </cacheField>
    <cacheField name="CONTRAT" numFmtId="0">
      <sharedItems containsBlank="1"/>
    </cacheField>
    <cacheField name="DUREE DU TRAVAIL" numFmtId="0">
      <sharedItems containsBlank="1"/>
    </cacheField>
    <cacheField name="TAUX ACTIVITE" numFmtId="0">
      <sharedItems containsString="0" containsBlank="1" containsNumber="1" minValue="0.5" maxValue="1"/>
    </cacheField>
    <cacheField name="HORAIRES" numFmtId="0">
      <sharedItems containsBlank="1"/>
    </cacheField>
    <cacheField name="COEF" numFmtId="49">
      <sharedItems containsBlank="1"/>
    </cacheField>
    <cacheField name="PROMOTION" numFmtId="0">
      <sharedItems containsString="0" containsBlank="1" containsNumber="1" containsInteger="1" minValue="0" maxValue="1"/>
    </cacheField>
    <cacheField name="HEURES FORMATION" numFmtId="1">
      <sharedItems containsString="0" containsBlank="1" containsNumber="1" containsInteger="1" minValue="0" maxValue="28"/>
    </cacheField>
    <cacheField name="REMUNERATION" numFmtId="0">
      <sharedItems containsString="0" containsBlank="1" containsNumber="1" containsInteger="1" minValue="10720" maxValue="64000"/>
    </cacheField>
    <cacheField name="REMUNERATION DE BASE ANNUELLE" numFmtId="0">
      <sharedItems containsString="0" containsBlank="1" containsNumber="1" minValue="7870.7744944180031" maxValue="65239.797824614652"/>
    </cacheField>
    <cacheField name="PRIMES, INDEMNITES ET AVANTAGES EN NATURE / ETP ANNUEL" numFmtId="1">
      <sharedItems containsString="0" containsBlank="1" containsNumber="1" containsInteger="1" minValue="100" maxValue="500"/>
    </cacheField>
    <cacheField name="AUGMEN-TATION" numFmtId="0">
      <sharedItems containsString="0" containsBlank="1" containsNumber="1" containsInteger="1" minValue="0" maxValue="1"/>
    </cacheField>
    <cacheField name="NOMBRE DE MALADIES PROFESSIONNELLES" numFmtId="49">
      <sharedItems containsString="0" containsBlank="1" containsNumber="1" containsInteger="1" minValue="0" maxValue="1"/>
    </cacheField>
    <cacheField name="NOMBRE D'ACCIDENTS DU TRAVAIL" numFmtId="49">
      <sharedItems containsString="0" containsBlank="1" containsNumber="1" containsInteger="1" minValue="0" maxValue="1"/>
    </cacheField>
    <cacheField name="RETOUR DE CONGE MATERNITE/ADOPTION" numFmtId="49">
      <sharedItems containsString="0" containsBlank="1" containsNumber="1" containsInteger="1" minValue="0" maxValue="1"/>
    </cacheField>
    <cacheField name="Colonne1" numFmtId="49">
      <sharedItems containsNonDate="0" containsString="0" containsBlank="1"/>
    </cacheField>
    <cacheField name="Age" numFmtId="49">
      <sharedItems containsMixedTypes="1" containsNumber="1" containsInteger="1" minValue="18" maxValue="62"/>
    </cacheField>
    <cacheField name="Ancienneté" numFmtId="49">
      <sharedItems containsMixedTypes="1" containsNumber="1" containsInteger="1" minValue="2" maxValue="44"/>
    </cacheField>
    <cacheField name="Tranches d'âge Index" numFmtId="49">
      <sharedItems/>
    </cacheField>
    <cacheField name="Tranche ancienneté" numFmtId="49">
      <sharedItems/>
    </cacheField>
    <cacheField name="Tranches rémunération" numFmtId="49">
      <sharedItems/>
    </cacheField>
    <cacheField name="Rémunération annuelle brute en ETP" numFmtId="169">
      <sharedItems containsMixedTypes="1" containsNumber="1" minValue="7970.7744944180031" maxValue="87676.2362951890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nom" refreshedDate="44181.000781134258" createdVersion="6" refreshedVersion="6" minRefreshableVersion="3" recordCount="320" xr:uid="{BD3BDF07-11B8-494D-A23C-D4CC1E79B5CD}">
  <cacheSource type="worksheet">
    <worksheetSource name="données"/>
  </cacheSource>
  <cacheFields count="36">
    <cacheField name="NOM" numFmtId="49">
      <sharedItems count="315">
        <s v="Matthieu"/>
        <s v="Arsène"/>
        <s v="Ferdinand"/>
        <s v="Sylvestre"/>
        <s v="Florentin"/>
        <s v="Solange"/>
        <s v="Anthelme"/>
        <s v="Romaric"/>
        <s v="Clément"/>
        <s v="Gaétan"/>
        <s v="Carine"/>
        <s v="Germain"/>
        <s v="Abel"/>
        <s v="Clotilde"/>
        <s v="Prosper"/>
        <s v="Arnaud"/>
        <s v="Ambroise"/>
        <s v="Venceslas"/>
        <s v="Firmin"/>
        <s v="Marc"/>
        <s v="Juste"/>
        <s v="Daniel"/>
        <s v="Antoine"/>
        <s v="Jean"/>
        <s v="Monique"/>
        <s v="Yves"/>
        <s v="Aimé"/>
        <s v="Gabin"/>
        <s v="Gisèle"/>
        <s v="Adeline"/>
        <s v="Rémi"/>
        <s v="Alice"/>
        <s v="Théophile"/>
        <s v="Prudence"/>
        <s v="Isabelle"/>
        <s v="Joseph"/>
        <s v="Wilfried"/>
        <s v="Bernard"/>
        <s v="Cécile"/>
        <s v="Roger"/>
        <s v="Barthélémy"/>
        <s v="Angèle"/>
        <s v="Evrard"/>
        <s v="Robert"/>
        <s v="Thibault"/>
        <s v="Gérald"/>
        <s v="Raoul"/>
        <s v="Gatien"/>
        <s v="Alida"/>
        <s v="Aubin"/>
        <s v="Etienne"/>
        <s v="Vincent"/>
        <s v="Bruno"/>
        <s v="Nestor"/>
        <s v="Sévrin"/>
        <s v="Barbara"/>
        <s v="Gaël"/>
        <s v="Fulbert"/>
        <s v="Thérèse"/>
        <s v="Léonce"/>
        <s v="Albert"/>
        <s v="Emile"/>
        <s v="Honorine"/>
        <s v="Marcelle"/>
        <s v="Claude"/>
        <s v="Gérard"/>
        <s v="Denis"/>
        <s v="Parfait"/>
        <s v="David"/>
        <s v="Saturnin"/>
        <s v="Amandine"/>
        <s v="Jules"/>
        <s v="Honoré"/>
        <s v="Claire"/>
        <s v="Jacqueline"/>
        <s v="Roland"/>
        <s v="Judith"/>
        <s v="Françoise"/>
        <s v="Elodie"/>
        <s v="Emeline"/>
        <s v="Christine"/>
        <s v="Louis"/>
        <s v="Flora"/>
        <s v="Ella"/>
        <s v="Nathalie"/>
        <s v="Adèle"/>
        <s v="Eric"/>
        <s v="Christian"/>
        <s v="Davy"/>
        <s v="Reine"/>
        <s v="Norbert"/>
        <s v="Alban"/>
        <s v="Julie"/>
        <s v="Léger"/>
        <s v="Benoît"/>
        <s v="Béatrice"/>
        <s v="Lydie"/>
        <s v="Richard"/>
        <s v="Rose"/>
        <s v="Frédéric"/>
        <s v="Donald"/>
        <s v="Martinien"/>
        <s v="Lucie"/>
        <s v="Sophie"/>
        <s v="Blandine"/>
        <s v="Nadège"/>
        <s v="Edith"/>
        <s v="Géraud"/>
        <s v="Bernardin"/>
        <s v="Fabrice"/>
        <s v="Marcellin"/>
        <s v="Sébastien"/>
        <s v="Catherine"/>
        <s v="Marius"/>
        <s v="Thècle"/>
        <s v="Sylvie"/>
        <s v="Delphine"/>
        <s v="Jacques"/>
        <s v="Dimitri"/>
        <s v="Quentin"/>
        <s v="Fidèle"/>
        <s v="Jean-Baptiste"/>
        <s v="Landry"/>
        <s v="Charlotte"/>
        <s v="Inès"/>
        <s v="Benjamin"/>
        <s v="Crépin"/>
        <s v="Gilles"/>
        <s v="Dominique"/>
        <s v="Blaise"/>
        <s v="Adelphe"/>
        <s v="Sylvain"/>
        <s v="Florence"/>
        <s v="Zita"/>
        <s v="Yvette"/>
        <s v="Didier"/>
        <s v="Laurent"/>
        <s v="Rodrigue"/>
        <s v="Basile"/>
        <s v="Larissa"/>
        <s v="Edmond"/>
        <s v="Anicet"/>
        <s v="Henri"/>
        <s v="Romain"/>
        <s v="Louise"/>
        <s v="Hyacinthe"/>
        <s v="Renaud"/>
        <s v="Samson"/>
        <s v="Kévin"/>
        <s v="Hugues"/>
        <s v="Apollinaire"/>
        <s v="Silvère"/>
        <s v="Ulrich"/>
        <s v="Ignace"/>
        <s v="Boris"/>
        <s v="Irène"/>
        <s v="Christophe"/>
        <s v="Florent"/>
        <s v="Olivier"/>
        <s v="Théodore"/>
        <s v="Victor"/>
        <s v="Joachim"/>
        <s v="Brigitte"/>
        <s v="Félix"/>
        <s v="Nina"/>
        <s v="Edouard"/>
        <s v="Aristide"/>
        <s v="Roméo"/>
        <s v="Olive"/>
        <s v="Gilbert"/>
        <s v="Aude"/>
        <s v="Tanguy"/>
        <s v="Romuald"/>
        <s v="Odile"/>
        <s v="Eugénie"/>
        <s v="Paterne"/>
        <s v="Denise"/>
        <s v="Odilon"/>
        <s v="Rolande"/>
        <s v="Pascal"/>
        <s v="Raymond"/>
        <s v="François"/>
        <s v="Jérôme"/>
        <s v="Valérie"/>
        <s v="Sandrine"/>
        <s v="Alexis"/>
        <s v="Bertrand"/>
        <s v="Brice"/>
        <s v="Mathilde"/>
        <s v="Audrey"/>
        <s v="Igor"/>
        <s v="Benoît-Joseph"/>
        <s v="Agnès"/>
        <s v="Ingrid"/>
        <s v="Noël"/>
        <s v="Fleur"/>
        <s v="Léa"/>
        <s v="Luc"/>
        <s v="Elisabeth"/>
        <s v="Guillaume"/>
        <s v="Roseline"/>
        <s v="Prisca"/>
        <s v="Ghislain"/>
        <s v="Hervé"/>
        <s v="Modeste"/>
        <s v="Sidoine"/>
        <s v="Armand"/>
        <s v="Martial"/>
        <s v="Irénée"/>
        <s v="Georges"/>
        <s v="Gaston"/>
        <s v="Pierre"/>
        <s v="Alexandre"/>
        <s v="Barnabé"/>
        <s v="Maurice"/>
        <s v="Bérenger"/>
        <s v="Amédée"/>
        <s v="Pacôme"/>
        <s v="Hermann"/>
        <s v="Charles"/>
        <s v="Alphonse"/>
        <s v="Bénédicte"/>
        <s v="Agathe"/>
        <s v="Hélène"/>
        <s v="Victorien"/>
        <s v="Geneviève"/>
        <s v="Achille"/>
        <s v="Colette"/>
        <s v="Narcisse"/>
        <s v="Damien"/>
        <s v="Rosine"/>
        <s v="Isidore"/>
        <s v="Emilie"/>
        <s v="Alain"/>
        <s v="Céline"/>
        <s v="Julienne"/>
        <s v="Natacha"/>
        <s v="Lucien"/>
        <s v="Stanislas"/>
        <s v="Barnard"/>
        <s v="Léon"/>
        <s v="Jude"/>
        <s v="Marcel"/>
        <s v="Gildas"/>
        <s v="Patrice"/>
        <s v="Elisée"/>
        <s v="René"/>
        <s v="Fernand"/>
        <s v="Rosalie"/>
        <s v="Raïssa"/>
        <s v="Marie"/>
        <s v="Urbain"/>
        <s v="Mélaine"/>
        <s v="Thierry"/>
        <s v="Tatiana"/>
        <s v="Mariette"/>
        <s v="Hubert"/>
        <s v="Bertille"/>
        <s v="Clémence"/>
        <s v="Guy"/>
        <s v="Vivien"/>
        <s v="André"/>
        <s v="Michel"/>
        <s v="Marina"/>
        <s v="Marguerite"/>
        <s v="Donatien"/>
        <s v="Valentin"/>
        <s v="Clarisse"/>
        <s v="Gontran"/>
        <s v="Jeanne"/>
        <s v="Bernadette"/>
        <s v="Ninon"/>
        <s v="Pélagie"/>
        <s v="Gautier"/>
        <s v="Pauline"/>
        <s v="Baudoin"/>
        <s v="Grégoire"/>
        <s v="Gwladys"/>
        <s v="Amour"/>
        <s v="Edwige"/>
        <s v="Germaine"/>
        <s v="Guénolé"/>
        <s v="Juliette"/>
        <s v="Estelle"/>
        <s v="Armel"/>
        <s v="Bienvenue"/>
        <s v="Justine"/>
        <s v="Viviane"/>
        <s v="Serge"/>
        <s v="Geoffroy"/>
        <s v="Matthias"/>
        <s v="Paule"/>
        <s v="Véronique"/>
        <s v="Alix"/>
        <s v="Maxime"/>
        <s v="Casimir"/>
        <s v="Habib"/>
        <s v="Fiacre"/>
        <s v="Julien"/>
        <s v="Constantin"/>
        <s v="Martine"/>
        <s v="Aimée"/>
        <s v="Cyrille"/>
        <s v="Marthe"/>
        <s v="Justin"/>
        <s v="Hippolyte"/>
        <s v="Sabine"/>
        <s v="Augustin"/>
        <s v="Félicité"/>
        <s v="Thomas"/>
        <s v="Nicolas"/>
        <s v="Ida"/>
        <s v="Lazare"/>
        <s v="Apolline"/>
        <s v="Emma"/>
      </sharedItems>
    </cacheField>
    <cacheField name="SEXE" numFmtId="49">
      <sharedItems containsBlank="1" count="3">
        <s v="H"/>
        <s v="F"/>
        <m u="1"/>
      </sharedItems>
    </cacheField>
    <cacheField name="DATE NAISSANCE" numFmtId="14">
      <sharedItems containsSemiMixedTypes="0" containsNonDate="0" containsDate="1" containsString="0" minDate="1957-11-01T00:00:00" maxDate="2001-09-26T00:00:00"/>
    </cacheField>
    <cacheField name="DATE EMBAUCHE" numFmtId="14">
      <sharedItems containsSemiMixedTypes="0" containsNonDate="0" containsDate="1" containsString="0" minDate="1975-12-19T00:00:00" maxDate="2017-10-02T00:00:00"/>
    </cacheField>
    <cacheField name="DIPLÔME" numFmtId="14">
      <sharedItems/>
    </cacheField>
    <cacheField name="CATEGORIE" numFmtId="49">
      <sharedItems containsBlank="1" count="22">
        <s v="1-OUVRIER"/>
        <s v="3-TAM"/>
        <s v="2-EMPLOYE"/>
        <s v="4-CADRE"/>
        <m u="1"/>
        <s v="10-autre" u="1"/>
        <s v="5rsth" u="1"/>
        <s v="10  hy" u="1"/>
        <s v="9 pioupo" u="1"/>
        <s v="8qrgt" u="1"/>
        <s v="toto" u="1"/>
        <s v="9qerzg" u="1"/>
        <s v="7'sef" u="1"/>
        <s v="6rt§u" u="1"/>
        <s v="7qer" u="1"/>
        <s v="5tt6rdf" u="1"/>
        <s v="7serthy" u="1"/>
        <s v="Cadre supérieur" u="1"/>
        <s v="dg" u="1"/>
        <s v="8serthy" u="1"/>
        <s v="10  iuyim u" u="1"/>
        <s v="6sert" u="1"/>
      </sharedItems>
    </cacheField>
    <cacheField name="COEF BRANCHE" numFmtId="14">
      <sharedItems containsBlank="1" count="6">
        <s v="coef 2"/>
        <s v="coef 3"/>
        <s v="coef 4"/>
        <s v="coef 5"/>
        <s v="coef 1"/>
        <m u="1"/>
      </sharedItems>
    </cacheField>
    <cacheField name="NOUVELLE COTATION PROPRE" numFmtId="14">
      <sharedItems containsBlank="1" count="4">
        <s v="catégorie 1"/>
        <s v="catégorie 2"/>
        <s v="catégorie 3"/>
        <m u="1"/>
      </sharedItems>
    </cacheField>
    <cacheField name="SERVICE" numFmtId="14">
      <sharedItems containsBlank="1" count="4">
        <s v="PROD"/>
        <s v="SA"/>
        <s v="DIR"/>
        <m u="1"/>
      </sharedItems>
    </cacheField>
    <cacheField name="METIER" numFmtId="14">
      <sharedItems containsBlank="1" count="6">
        <s v="Fabrication"/>
        <s v="Direction adjoint"/>
        <s v="Administratif"/>
        <s v="Conditionnement"/>
        <s v="Direction"/>
        <m u="1"/>
      </sharedItems>
    </cacheField>
    <cacheField name="EMPLOI" numFmtId="49">
      <sharedItems containsBlank="1" count="14">
        <s v="opérateur"/>
        <s v="comptable"/>
        <s v="secrétaire"/>
        <s v="technicien"/>
        <s v="chef d'équipe"/>
        <s v="directeur"/>
        <s v="support informatique"/>
        <s v="commercial"/>
        <s v="achat"/>
        <s v="assistante"/>
        <s v="gestion rh"/>
        <s v="agent de maintenance"/>
        <s v="logistique"/>
        <m u="1"/>
      </sharedItems>
    </cacheField>
    <cacheField name="TYPE DE CONTRAT" numFmtId="0">
      <sharedItems count="5">
        <s v="salarié"/>
        <s v="expatrié" u="1"/>
        <s v="mise à disposition" u="1"/>
        <s v="contrat pro." u="1"/>
        <s v="apprenti" u="1"/>
      </sharedItems>
    </cacheField>
    <cacheField name="CONTRAT" numFmtId="0">
      <sharedItems count="3">
        <s v="CDI"/>
        <s v="CDD"/>
        <s v="Contrat Aidé"/>
      </sharedItems>
    </cacheField>
    <cacheField name="DUREE DU TRAVAIL" numFmtId="0">
      <sharedItems containsBlank="1" count="3">
        <s v="TP"/>
        <s v="TC"/>
        <m u="1"/>
      </sharedItems>
    </cacheField>
    <cacheField name="TAUX ACTIVITE" numFmtId="9">
      <sharedItems containsSemiMixedTypes="0" containsString="0" containsNumber="1" minValue="0.5" maxValue="1"/>
    </cacheField>
    <cacheField name="HORAIRES" numFmtId="0">
      <sharedItems count="2">
        <s v="NUIT"/>
        <s v="JOURNEE"/>
      </sharedItems>
    </cacheField>
    <cacheField name="COEF" numFmtId="49">
      <sharedItems count="6">
        <s v="400"/>
        <s v="200"/>
        <s v="300"/>
        <s v="500"/>
        <s v="700"/>
        <s v="100"/>
      </sharedItems>
    </cacheField>
    <cacheField name="PROMOTION" numFmtId="0">
      <sharedItems containsSemiMixedTypes="0" containsString="0" containsNumber="1" containsInteger="1" minValue="0" maxValue="1" count="2">
        <n v="0"/>
        <n v="1"/>
      </sharedItems>
    </cacheField>
    <cacheField name="HEURES FORMATION" numFmtId="1">
      <sharedItems containsSemiMixedTypes="0" containsString="0" containsNumber="1" containsInteger="1" minValue="0" maxValue="28"/>
    </cacheField>
    <cacheField name="REMUNERATION" numFmtId="49">
      <sharedItems containsSemiMixedTypes="0" containsString="0" containsNumber="1" containsInteger="1" minValue="10720" maxValue="64000"/>
    </cacheField>
    <cacheField name="18441,71692" numFmtId="0">
      <sharedItems containsSemiMixedTypes="0" containsString="0" containsNumber="1" minValue="7870.7744944180031" maxValue="320213"/>
    </cacheField>
    <cacheField name="PRIMES, INDEMNITES ET AVANTAGES EN NATURE / ETP ANNUEL" numFmtId="1">
      <sharedItems containsSemiMixedTypes="0" containsString="0" containsNumber="1" containsInteger="1" minValue="100" maxValue="500"/>
    </cacheField>
    <cacheField name="AUGMEN-TATION" numFmtId="49">
      <sharedItems containsSemiMixedTypes="0" containsString="0" containsNumber="1" containsInteger="1" minValue="0" maxValue="1"/>
    </cacheField>
    <cacheField name="NOMBRE DE MALADIES PROFESSIONNELLES" numFmtId="49">
      <sharedItems containsSemiMixedTypes="0" containsString="0" containsNumber="1" containsInteger="1" minValue="0" maxValue="1" count="2">
        <n v="0"/>
        <n v="1"/>
      </sharedItems>
    </cacheField>
    <cacheField name="NOMBRE D'ACCIDENTS DU TRAVAIL" numFmtId="49">
      <sharedItems containsSemiMixedTypes="0" containsString="0" containsNumber="1" containsInteger="1" minValue="0" maxValue="1" count="2">
        <n v="1"/>
        <n v="0"/>
      </sharedItems>
    </cacheField>
    <cacheField name="RETOUR DE CONGE MATERNITE/ADOPTION" numFmtId="49">
      <sharedItems containsSemiMixedTypes="0" containsString="0" containsNumber="1" containsInteger="1" minValue="0" maxValue="1"/>
    </cacheField>
    <cacheField name="TELETRAVAIL" numFmtId="49">
      <sharedItems count="6">
        <s v="0-1"/>
        <s v="0-2"/>
        <s v="0-3"/>
        <s v="0-4"/>
        <s v="0-5"/>
        <s v="0-8"/>
      </sharedItems>
    </cacheField>
    <cacheField name="Age" numFmtId="0">
      <sharedItems containsSemiMixedTypes="0" containsString="0" containsNumber="1" containsInteger="1" minValue="18" maxValue="62"/>
    </cacheField>
    <cacheField name="Ancienneté" numFmtId="0">
      <sharedItems containsSemiMixedTypes="0" containsString="0" containsNumber="1" containsInteger="1" minValue="2" maxValue="44"/>
    </cacheField>
    <cacheField name="Tranches d'âge Index" numFmtId="0">
      <sharedItems count="9">
        <s v="50 ans et plus"/>
        <s v="40 à 49 ans"/>
        <s v="30 à 39 ans"/>
        <s v="Moins de 30 ans"/>
        <s v="" u="1"/>
        <s v="50 et +" u="1"/>
        <s v="0-29" u="1"/>
        <s v="30-39" u="1"/>
        <s v="40-49" u="1"/>
      </sharedItems>
    </cacheField>
    <cacheField name="Tranche ancienneté" numFmtId="0">
      <sharedItems count="10">
        <s v="6 : 25-29"/>
        <s v="9 : 40 et +"/>
        <s v="8 : 35-39"/>
        <s v="7 : 30-34"/>
        <s v="5 : 20-24"/>
        <s v="4 : 15-19"/>
        <s v="3 : 10-14"/>
        <s v="2 : 5-9"/>
        <s v="1 : 1-4"/>
        <s v="" u="1"/>
      </sharedItems>
    </cacheField>
    <cacheField name="Tranches rémunération" numFmtId="0">
      <sharedItems count="5">
        <s v="4: 20 000-23 000"/>
        <s v="2:14 000-17 000"/>
        <s v="5 : + de 23 000"/>
        <s v="1:7 000-14 000"/>
        <s v="3:17 000-20 000"/>
      </sharedItems>
    </cacheField>
    <cacheField name="Rémunération annuelle brute en ETP" numFmtId="169">
      <sharedItems containsSemiMixedTypes="0" containsString="0" containsNumber="1" minValue="7970.7744944180031" maxValue="87676.236295189097"/>
    </cacheField>
    <cacheField name="Croisement" numFmtId="0">
      <sharedItems count="30">
        <s v="catégorie 1"/>
        <s v="catégorie 2"/>
        <s v="catégorie 3"/>
        <s v="" u="1"/>
        <s v="10-autre" u="1"/>
        <s v="3-TAM" u="1"/>
        <s v="5rsth" u="1"/>
        <s v="10  hy" u="1"/>
        <s v="9 pioupo" u="1"/>
        <s v="8qrgt" u="1"/>
        <s v="toto" u="1"/>
        <s v="9qerzg" u="1"/>
        <s v="7'sef" u="1"/>
        <s v="6rt§u" u="1"/>
        <s v="7qer" u="1"/>
        <s v="1-OUVRIER" u="1"/>
        <s v="2-EMPLOYE" u="1"/>
        <s v="5tt6rdf" u="1"/>
        <s v="7serthy" u="1"/>
        <s v="Cadre supérieur" u="1"/>
        <s v="coef 1" u="1"/>
        <s v="dg" u="1"/>
        <s v="coef 2" u="1"/>
        <s v="coef 3" u="1"/>
        <s v="4-CADRE" u="1"/>
        <s v="coef 4" u="1"/>
        <s v="coef 5" u="1"/>
        <s v="8serthy" u="1"/>
        <s v="10  iuyim u" u="1"/>
        <s v="6sert" u="1"/>
      </sharedItems>
    </cacheField>
    <cacheField name="affichage" numFmtId="0">
      <sharedItems containsBlank="1" containsMixedTypes="1" containsNumber="1" containsInteger="1" minValue="1" maxValue="4" count="7">
        <s v=" "/>
        <s v="Actualiser"/>
        <n v="3"/>
        <n v="4"/>
        <m/>
        <n v="2" u="1"/>
        <n v="1" u="1"/>
      </sharedItems>
    </cacheField>
    <cacheField name="Croisement2" numFmtId="0" formula=" 0" databaseField="0"/>
  </cacheFields>
  <extLst>
    <ext xmlns:x14="http://schemas.microsoft.com/office/spreadsheetml/2009/9/main" uri="{725AE2AE-9491-48be-B2B4-4EB974FC3084}">
      <x14:pivotCacheDefinition pivotCacheId="77525364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6">
  <r>
    <s v="Alexis"/>
    <s v="H"/>
    <d v="1994-08-17T00:00:00"/>
    <d v="2011-04-13T00:00:00"/>
    <s v="Niv.3"/>
    <s v="1-OUVRIER"/>
    <s v="coef 1"/>
    <s v="catégorie 1"/>
    <s v="PROD"/>
    <s v="Fabrication"/>
    <s v="opérateur"/>
    <s v="salarié"/>
    <s v="CDI"/>
    <s v="TP"/>
    <n v="0.8"/>
    <s v="NUIT"/>
    <s v="400"/>
    <n v="0"/>
    <n v="7"/>
    <n v="43000"/>
    <n v="46167"/>
    <n v="250"/>
    <n v="0"/>
    <n v="0"/>
    <n v="1"/>
    <n v="0"/>
    <m/>
    <n v="26"/>
    <n v="9"/>
    <s v="0-29"/>
    <s v="3 : 10-14"/>
    <s v="5:+23000"/>
    <n v="55650.400000000001"/>
  </r>
  <r>
    <s v="Alice"/>
    <s v="F"/>
    <d v="1968-08-13T00:00:00"/>
    <d v="1991-06-12T00:00:00"/>
    <s v="Niv.3"/>
    <s v="1-OUVRIER"/>
    <s v="coef 2"/>
    <s v="catégorie 1"/>
    <s v="PROD"/>
    <s v="Fabrication"/>
    <s v="opérateur"/>
    <s v="salarié"/>
    <s v="CDI"/>
    <s v="TP"/>
    <n v="0.5"/>
    <s v="NUIT"/>
    <s v="400"/>
    <n v="0"/>
    <n v="7"/>
    <n v="22240"/>
    <n v="18441.716916400987"/>
    <n v="100"/>
    <n v="0"/>
    <n v="0"/>
    <n v="1"/>
    <n v="0"/>
    <m/>
    <n v="52"/>
    <n v="29"/>
    <s v="50 et +"/>
    <s v="7 : 30-34"/>
    <s v="4:20000-23000"/>
    <n v="27762.575374601482"/>
  </r>
  <r>
    <s v="Alida"/>
    <s v="F"/>
    <d v="1975-12-31T00:00:00"/>
    <d v="1997-04-19T00:00:00"/>
    <s v="Niv.7"/>
    <s v="3-TAM"/>
    <s v="coef 3"/>
    <s v="catégorie 1"/>
    <s v="SA"/>
    <s v="Administratif"/>
    <s v="comptable"/>
    <s v="salarié"/>
    <s v="CDI"/>
    <s v="TP"/>
    <n v="0.8"/>
    <s v="NUIT"/>
    <s v="400"/>
    <n v="0"/>
    <n v="14"/>
    <n v="20320"/>
    <n v="15301.473660819251"/>
    <n v="250"/>
    <n v="0"/>
    <n v="0"/>
    <n v="0"/>
    <n v="0"/>
    <m/>
    <n v="44"/>
    <n v="23"/>
    <s v="40-49"/>
    <s v="5 : 20-24"/>
    <s v="4:20000-23000"/>
    <n v="18611.7683929831"/>
  </r>
  <r>
    <s v="Alix"/>
    <s v="F"/>
    <d v="2001-09-04T00:00:00"/>
    <d v="2016-11-29T00:00:00"/>
    <s v="Niv.6"/>
    <s v="2-EMPLOYE"/>
    <s v="coef 4"/>
    <s v="catégorie 1"/>
    <s v="SA"/>
    <s v="Administratif"/>
    <s v="secrétaire"/>
    <s v="salarié"/>
    <s v="CDD"/>
    <s v="TP"/>
    <n v="0.8"/>
    <s v="JOURNEE"/>
    <s v="200"/>
    <n v="0"/>
    <n v="7"/>
    <n v="14320"/>
    <n v="12191.418489269836"/>
    <n v="250"/>
    <n v="1"/>
    <n v="1"/>
    <n v="1"/>
    <n v="0"/>
    <m/>
    <n v="18"/>
    <n v="3"/>
    <s v="0-29"/>
    <s v="1 : 1-4"/>
    <s v="2:14000-17000"/>
    <n v="14879.702187123803"/>
  </r>
  <r>
    <s v="Alphonse"/>
    <s v="H"/>
    <d v="1994-06-28T00:00:00"/>
    <d v="2013-11-03T00:00:00"/>
    <s v="Niv.3"/>
    <s v="1-OUVRIER"/>
    <s v="coef 5"/>
    <s v="catégorie 1"/>
    <s v="PROD"/>
    <s v="Fabrication"/>
    <s v="opérateur"/>
    <s v="salarié"/>
    <s v="CDI"/>
    <s v="TC"/>
    <n v="1"/>
    <s v="JOURNEE"/>
    <s v="300"/>
    <n v="0"/>
    <n v="7"/>
    <n v="25000"/>
    <n v="21896.184838227273"/>
    <n v="250"/>
    <n v="0"/>
    <n v="0"/>
    <n v="0"/>
    <n v="0"/>
    <m/>
    <n v="26"/>
    <n v="6"/>
    <s v="0-29"/>
    <s v="2 : 5-9"/>
    <s v="5:+23000"/>
    <n v="22146.184838227273"/>
  </r>
  <r>
    <s v="Amandine"/>
    <s v="F"/>
    <d v="1965-09-13T00:00:00"/>
    <d v="2000-10-29T00:00:00"/>
    <s v="Niv.3"/>
    <s v="1-OUVRIER"/>
    <s v="coef 3"/>
    <s v="catégorie 1"/>
    <s v="PROD"/>
    <s v="Fabrication"/>
    <s v="opérateur"/>
    <s v="salarié"/>
    <s v="CDD"/>
    <s v="TC"/>
    <n v="1"/>
    <s v="NUIT"/>
    <s v="300"/>
    <n v="1"/>
    <n v="7"/>
    <n v="47920"/>
    <n v="44066.416583509075"/>
    <n v="100"/>
    <n v="0"/>
    <n v="0"/>
    <n v="1"/>
    <n v="0"/>
    <m/>
    <n v="54"/>
    <n v="19"/>
    <s v="50 et +"/>
    <s v="5 : 20-24"/>
    <s v="5:+23000"/>
    <n v="44166.416583509075"/>
  </r>
  <r>
    <s v="Ambroise"/>
    <s v="H"/>
    <d v="1966-05-14T00:00:00"/>
    <d v="1985-08-08T00:00:00"/>
    <s v="Niv.3"/>
    <s v="1-OUVRIER"/>
    <s v="coef 4"/>
    <s v="catégorie 1"/>
    <s v="PROD"/>
    <s v="Fabrication"/>
    <s v="opérateur"/>
    <s v="salarié"/>
    <s v="CDI"/>
    <s v="TC"/>
    <n v="1"/>
    <s v="JOURNEE"/>
    <s v="500"/>
    <n v="1"/>
    <n v="7"/>
    <n v="35080"/>
    <n v="35335.765235019375"/>
    <n v="250"/>
    <n v="1"/>
    <n v="0"/>
    <n v="1"/>
    <n v="0"/>
    <m/>
    <n v="54"/>
    <n v="35"/>
    <s v="50 et +"/>
    <s v="8 : 35-39"/>
    <s v="5:+23000"/>
    <n v="35585.765235019375"/>
  </r>
  <r>
    <s v="Amédée"/>
    <s v="H"/>
    <d v="1972-09-03T00:00:00"/>
    <d v="2013-06-07T00:00:00"/>
    <s v="Niv.4"/>
    <s v="3-TAM"/>
    <s v="coef 1"/>
    <s v="catégorie 1"/>
    <s v="PROD"/>
    <s v="Fabrication"/>
    <s v="technicien"/>
    <s v="contrat pro."/>
    <s v="CDI"/>
    <s v="TC"/>
    <n v="1"/>
    <s v="NUIT"/>
    <s v="400"/>
    <n v="1"/>
    <n v="28"/>
    <n v="32920"/>
    <n v="35866.948722056019"/>
    <n v="250"/>
    <n v="1"/>
    <n v="0"/>
    <n v="1"/>
    <n v="0"/>
    <m/>
    <n v="47"/>
    <n v="7"/>
    <s v="40-49"/>
    <s v="2 : 5-9"/>
    <s v="5:+23000"/>
    <n v="36116.948722056019"/>
  </r>
  <r>
    <s v="Amour"/>
    <s v="H"/>
    <d v="2001-06-25T00:00:00"/>
    <d v="2016-06-27T00:00:00"/>
    <s v="Niv.7"/>
    <s v="3-TAM"/>
    <s v="coef 1"/>
    <s v="catégorie 1"/>
    <s v="PROD"/>
    <s v="Fabrication"/>
    <s v="chef d'équipe"/>
    <s v="salarié"/>
    <s v="CDI"/>
    <s v="TC"/>
    <n v="1"/>
    <s v="NUIT"/>
    <s v="500"/>
    <n v="1"/>
    <n v="14"/>
    <n v="14320"/>
    <n v="18078.426723453955"/>
    <n v="250"/>
    <n v="1"/>
    <n v="0"/>
    <n v="0"/>
    <n v="0"/>
    <m/>
    <n v="19"/>
    <n v="4"/>
    <s v="0-29"/>
    <s v="2 : 5-9"/>
    <s v="2:14000-17000"/>
    <n v="18328.426723453955"/>
  </r>
  <r>
    <s v="André"/>
    <s v="H"/>
    <d v="1987-12-09T00:00:00"/>
    <d v="2016-01-17T00:00:00"/>
    <s v="Niv.3"/>
    <s v="1-OUVRIER"/>
    <s v="coef 1"/>
    <s v="catégorie 1"/>
    <s v="PROD"/>
    <s v="Fabrication"/>
    <s v="opérateur"/>
    <s v="salarié"/>
    <s v="CDI"/>
    <s v="TC"/>
    <n v="1"/>
    <s v="NUIT"/>
    <s v="200"/>
    <n v="0"/>
    <n v="7"/>
    <n v="46600"/>
    <n v="46671.203665014938"/>
    <n v="500"/>
    <n v="0"/>
    <n v="1"/>
    <n v="0"/>
    <n v="0"/>
    <m/>
    <n v="32"/>
    <n v="4"/>
    <s v="30-39"/>
    <s v="2 : 5-9"/>
    <s v="5:+23000"/>
    <n v="47171.203665014938"/>
  </r>
  <r>
    <s v="Angèle"/>
    <s v="F"/>
    <d v="1976-03-25T00:00:00"/>
    <d v="1995-05-15T00:00:00"/>
    <s v="Niv.3"/>
    <s v="1-OUVRIER"/>
    <s v="coef 5"/>
    <s v="catégorie 1"/>
    <s v="PROD"/>
    <s v="Conditionnement"/>
    <s v="opérateur"/>
    <s v="salarié"/>
    <s v="CDI"/>
    <s v="TC"/>
    <n v="1"/>
    <s v="NUIT"/>
    <s v="200"/>
    <n v="1"/>
    <n v="0"/>
    <n v="53800"/>
    <n v="61257.913039472201"/>
    <n v="250"/>
    <n v="1"/>
    <n v="1"/>
    <n v="0"/>
    <n v="0"/>
    <m/>
    <n v="44"/>
    <n v="25"/>
    <s v="40-49"/>
    <s v="6 : 25-29"/>
    <s v="5:+23000"/>
    <n v="61507.913039472201"/>
  </r>
  <r>
    <s v="Anicet"/>
    <s v="H"/>
    <d v="1985-11-03T00:00:00"/>
    <d v="2007-12-08T00:00:00"/>
    <s v="Niv.7"/>
    <s v="4-CADRE"/>
    <s v="coef 2"/>
    <s v="catégorie 2"/>
    <s v="DIR"/>
    <s v="Direction"/>
    <s v="directeur"/>
    <s v="apprenti"/>
    <s v="CDI"/>
    <s v="TC"/>
    <n v="1"/>
    <s v="NUIT"/>
    <s v="700"/>
    <n v="1"/>
    <n v="0"/>
    <n v="12400"/>
    <n v="14966.646053739798"/>
    <n v="250"/>
    <n v="1"/>
    <n v="0"/>
    <n v="0"/>
    <n v="0"/>
    <m/>
    <n v="34"/>
    <n v="12"/>
    <s v="30-39"/>
    <s v="3 : 10-14"/>
    <s v="1:7000-14000"/>
    <n v="15216.646053739798"/>
  </r>
  <r>
    <s v="Anthelme"/>
    <s v="H"/>
    <d v="1959-10-07T00:00:00"/>
    <d v="1981-10-05T00:00:00"/>
    <s v="Niv.3"/>
    <s v="1-OUVRIER"/>
    <s v="coef 3"/>
    <s v="catégorie 1"/>
    <s v="PROD"/>
    <s v="Conditionnement"/>
    <s v="opérateur"/>
    <s v="salarié"/>
    <s v="CDI"/>
    <s v="TP"/>
    <n v="0.8"/>
    <s v="JOURNEE"/>
    <s v="300"/>
    <n v="0"/>
    <n v="0"/>
    <n v="63400"/>
    <n v="60375.927003436787"/>
    <n v="250"/>
    <n v="0"/>
    <n v="0"/>
    <n v="0"/>
    <n v="0"/>
    <m/>
    <n v="60"/>
    <n v="38"/>
    <s v="50 et +"/>
    <s v="8 : 35-39"/>
    <s v="5:+23000"/>
    <n v="72701.112404124142"/>
  </r>
  <r>
    <s v="Antoine"/>
    <s v="H"/>
    <d v="1959-12-07T00:00:00"/>
    <d v="1987-10-05T00:00:00"/>
    <s v="Niv.3"/>
    <s v="1-OUVRIER"/>
    <s v="coef 4"/>
    <s v="catégorie 1"/>
    <s v="PROD"/>
    <s v="Conditionnement"/>
    <s v="opérateur"/>
    <s v="salarié"/>
    <s v="CDI"/>
    <s v="TP"/>
    <n v="0.8"/>
    <s v="JOURNEE"/>
    <s v="300"/>
    <n v="0"/>
    <n v="0"/>
    <n v="37240"/>
    <n v="31074.922590084563"/>
    <n v="500"/>
    <n v="0"/>
    <n v="1"/>
    <n v="0"/>
    <n v="0"/>
    <m/>
    <n v="60"/>
    <n v="32"/>
    <s v="50 et +"/>
    <s v="7 : 30-34"/>
    <s v="5:+23000"/>
    <n v="37789.907108101477"/>
  </r>
  <r>
    <s v="Antoine"/>
    <s v="H"/>
    <d v="1975-04-02T00:00:00"/>
    <d v="1994-12-26T00:00:00"/>
    <s v="Niv.7"/>
    <s v="3-TAM"/>
    <s v="coef 5"/>
    <s v="catégorie 1"/>
    <s v="SA"/>
    <s v="Administratif"/>
    <s v="support informatique"/>
    <s v="mise à disposition"/>
    <s v="CDI"/>
    <s v="TC"/>
    <n v="1"/>
    <s v="JOURNEE"/>
    <s v="500"/>
    <n v="1"/>
    <n v="14"/>
    <n v="31840"/>
    <n v="30421.485326617185"/>
    <n v="250"/>
    <n v="1"/>
    <n v="0"/>
    <n v="1"/>
    <n v="0"/>
    <m/>
    <n v="45"/>
    <n v="25"/>
    <s v="40-49"/>
    <s v="6 : 25-29"/>
    <s v="5:+23000"/>
    <n v="30671.485326617185"/>
  </r>
  <r>
    <s v="Apollinaire"/>
    <s v="H"/>
    <d v="1963-08-09T00:00:00"/>
    <d v="2008-12-25T00:00:00"/>
    <s v="Niv.7"/>
    <s v="3-TAM"/>
    <s v="coef 1"/>
    <s v="catégorie 1"/>
    <s v="PROD"/>
    <s v="Conditionnement"/>
    <s v="chef d'équipe"/>
    <s v="salarié"/>
    <s v="CDI"/>
    <s v="TC"/>
    <n v="1"/>
    <s v="JOURNEE"/>
    <s v="500"/>
    <n v="1"/>
    <n v="14"/>
    <n v="10720"/>
    <n v="12623.752744412501"/>
    <n v="250"/>
    <n v="1"/>
    <n v="0"/>
    <n v="0"/>
    <n v="0"/>
    <m/>
    <n v="57"/>
    <n v="11"/>
    <s v="50 et +"/>
    <s v="3 : 10-14"/>
    <s v="1:7000-14000"/>
    <n v="12873.752744412501"/>
  </r>
  <r>
    <s v="Apolline"/>
    <s v="F"/>
    <d v="1989-07-15T00:00:00"/>
    <d v="2017-09-25T00:00:00"/>
    <s v="Niv.3"/>
    <s v="1-OUVRIER"/>
    <s v="coef 1"/>
    <m/>
    <s v="PROD"/>
    <s v="Conditionnement"/>
    <s v="opérateur"/>
    <s v="salarié"/>
    <s v="CDI"/>
    <s v="TP"/>
    <n v="0.5"/>
    <s v="JOURNEE"/>
    <s v="200"/>
    <n v="0"/>
    <n v="0"/>
    <n v="26800"/>
    <n v="31945.148853956838"/>
    <n v="250"/>
    <n v="0"/>
    <n v="1"/>
    <n v="0"/>
    <n v="0"/>
    <m/>
    <n v="31"/>
    <n v="2"/>
    <s v="30-39"/>
    <s v="1 : 1-4"/>
    <s v="5:+23000"/>
    <n v="48167.723280935257"/>
  </r>
  <r>
    <s v="Aristide"/>
    <s v="H"/>
    <d v="1994-06-18T00:00:00"/>
    <d v="2010-03-17T00:00:00"/>
    <s v="Niv.3"/>
    <s v="1-OUVRIER"/>
    <s v="coef 1"/>
    <s v="catégorie 1"/>
    <s v="PROD"/>
    <s v="Conditionnement"/>
    <s v="opérateur"/>
    <s v="salarié"/>
    <s v="CDD"/>
    <s v="TP"/>
    <n v="0.8"/>
    <s v="JOURNEE"/>
    <s v="200"/>
    <n v="0"/>
    <n v="0"/>
    <n v="16000"/>
    <n v="16119.789856479762"/>
    <n v="250"/>
    <n v="0"/>
    <n v="1"/>
    <n v="0"/>
    <n v="0"/>
    <m/>
    <n v="26"/>
    <n v="10"/>
    <s v="0-29"/>
    <s v="3 : 10-14"/>
    <s v="2:14000-17000"/>
    <n v="19593.747827775715"/>
  </r>
  <r>
    <s v="Armand"/>
    <s v="H"/>
    <d v="1987-01-04T00:00:00"/>
    <d v="2012-11-26T00:00:00"/>
    <s v="Niv.6"/>
    <s v="3-TAM"/>
    <s v="coef 2"/>
    <s v="catégorie 1"/>
    <s v="SA"/>
    <s v="Administratif"/>
    <s v="commercial"/>
    <s v="salarié"/>
    <s v="CDI"/>
    <s v="TP"/>
    <n v="0.8"/>
    <s v="JOURNEE"/>
    <s v="500"/>
    <n v="1"/>
    <n v="21"/>
    <n v="47200"/>
    <n v="46799.381113835698"/>
    <n v="250"/>
    <n v="1"/>
    <n v="0"/>
    <n v="0"/>
    <n v="0"/>
    <m/>
    <n v="33"/>
    <n v="7"/>
    <s v="30-39"/>
    <s v="2 : 5-9"/>
    <s v="5:+23000"/>
    <n v="56409.257336602837"/>
  </r>
  <r>
    <s v="Armel"/>
    <s v="H"/>
    <d v="1998-10-06T00:00:00"/>
    <d v="2016-08-24T00:00:00"/>
    <s v="Niv.3"/>
    <s v="1-OUVRIER"/>
    <s v="coef 3"/>
    <s v="catégorie 1"/>
    <s v="PROD"/>
    <s v="Conditionnement"/>
    <s v="opérateur"/>
    <s v="salarié"/>
    <s v="Contrat Aidé"/>
    <s v="TP"/>
    <n v="0.8"/>
    <s v="JOURNEE"/>
    <s v="100"/>
    <n v="0"/>
    <n v="0"/>
    <n v="40000"/>
    <n v="46969.329868438814"/>
    <n v="250"/>
    <n v="0"/>
    <n v="1"/>
    <n v="0"/>
    <n v="0"/>
    <m/>
    <n v="21"/>
    <n v="4"/>
    <s v="0-29"/>
    <s v="2 : 5-9"/>
    <s v="5:+23000"/>
    <n v="56613.195842126574"/>
  </r>
  <r>
    <s v="Arnaud"/>
    <s v="H"/>
    <d v="1961-07-28T00:00:00"/>
    <d v="1985-07-21T00:00:00"/>
    <s v="Niv.3"/>
    <s v="1-OUVRIER"/>
    <s v="coef 4"/>
    <s v="catégorie 1"/>
    <s v="PROD"/>
    <s v="Fabrication"/>
    <s v="opérateur"/>
    <s v="salarié"/>
    <s v="CDI"/>
    <s v="TP"/>
    <n v="0.8"/>
    <s v="NUIT"/>
    <s v="400"/>
    <n v="1"/>
    <n v="7"/>
    <n v="36880"/>
    <n v="30976.765468004931"/>
    <n v="250"/>
    <n v="1"/>
    <n v="0"/>
    <n v="1"/>
    <n v="0"/>
    <m/>
    <n v="59"/>
    <n v="35"/>
    <s v="50 et +"/>
    <s v="8 : 35-39"/>
    <s v="5:+23000"/>
    <n v="37422.118561605916"/>
  </r>
  <r>
    <s v="Arsène"/>
    <s v="H"/>
    <d v="1959-09-16T00:00:00"/>
    <d v="1975-12-19T00:00:00"/>
    <s v="Niv.3"/>
    <s v="1-OUVRIER"/>
    <s v="coef 5"/>
    <s v="catégorie 2"/>
    <s v="PROD"/>
    <s v="Fabrication"/>
    <s v="opérateur"/>
    <s v="salarié"/>
    <s v="CDI"/>
    <s v="TP"/>
    <n v="0.5"/>
    <s v="NUIT"/>
    <s v="300"/>
    <n v="0"/>
    <n v="7"/>
    <n v="64000"/>
    <n v="52605.998578252838"/>
    <n v="250"/>
    <n v="0"/>
    <n v="0"/>
    <n v="1"/>
    <n v="0"/>
    <m/>
    <n v="60"/>
    <n v="44"/>
    <s v="50 et +"/>
    <s v="9 : 40 et +"/>
    <s v="5:+23000"/>
    <n v="79158.99786737925"/>
  </r>
  <r>
    <s v="Aubin"/>
    <s v="H"/>
    <d v="1964-11-17T00:00:00"/>
    <d v="1997-08-12T00:00:00"/>
    <s v="Niv.6"/>
    <s v="3-TAM"/>
    <s v="coef 1"/>
    <s v="catégorie 3"/>
    <s v="SA"/>
    <s v="Administratif"/>
    <s v="achat"/>
    <s v="salarié"/>
    <s v="CDI"/>
    <s v="TP"/>
    <n v="0.8"/>
    <s v="NUIT"/>
    <s v="500"/>
    <n v="1"/>
    <n v="14"/>
    <n v="47920"/>
    <n v="46333.881914424732"/>
    <n v="500"/>
    <n v="1"/>
    <n v="0"/>
    <n v="0"/>
    <n v="1"/>
    <m/>
    <n v="55"/>
    <n v="23"/>
    <s v="50 et +"/>
    <s v="5 : 20-24"/>
    <s v="5:+23000"/>
    <n v="56100.658297309674"/>
  </r>
  <r>
    <s v="Aude"/>
    <s v="F"/>
    <d v="1989-01-31T00:00:00"/>
    <d v="2010-05-10T00:00:00"/>
    <s v="Niv.5"/>
    <s v="2-EMPLOYE"/>
    <s v="coef 1"/>
    <s v="catégorie 2"/>
    <s v="SA"/>
    <s v="Administratif"/>
    <s v="assistante"/>
    <s v="contrat pro."/>
    <s v="CDD"/>
    <s v="TP"/>
    <n v="0.8"/>
    <s v="JOURNEE"/>
    <s v="200"/>
    <n v="0"/>
    <n v="7"/>
    <n v="17200"/>
    <n v="17727.997319887167"/>
    <n v="250"/>
    <n v="0"/>
    <n v="1"/>
    <n v="1"/>
    <n v="1"/>
    <m/>
    <n v="31"/>
    <n v="10"/>
    <s v="30-39"/>
    <s v="3 : 10-14"/>
    <s v="3:17000-20000"/>
    <n v="21523.596783864599"/>
  </r>
  <r>
    <s v="Audrey"/>
    <s v="F"/>
    <d v="1986-10-05T00:00:00"/>
    <d v="2011-09-20T00:00:00"/>
    <s v="Niv.3"/>
    <s v="1-OUVRIER"/>
    <s v="coef 2"/>
    <s v="catégorie 3"/>
    <s v="PROD"/>
    <s v="Fabrication"/>
    <s v="opérateur"/>
    <s v="salarié"/>
    <s v="CDI"/>
    <s v="TC"/>
    <n v="1"/>
    <s v="JOURNEE"/>
    <s v="300"/>
    <n v="0"/>
    <n v="7"/>
    <n v="37360"/>
    <n v="41924.283295994217"/>
    <n v="500"/>
    <n v="0"/>
    <n v="0"/>
    <n v="0"/>
    <n v="1"/>
    <m/>
    <n v="33"/>
    <n v="8"/>
    <s v="30-39"/>
    <s v="2 : 5-9"/>
    <s v="5:+23000"/>
    <n v="42424.283295994217"/>
  </r>
  <r>
    <s v="Augustin"/>
    <s v="H"/>
    <d v="1991-11-17T00:00:00"/>
    <d v="2017-07-28T00:00:00"/>
    <s v="Niv.3"/>
    <s v="1-OUVRIER"/>
    <s v="coef 1"/>
    <s v="catégorie 1"/>
    <s v="PROD"/>
    <s v="Fabrication"/>
    <s v="opérateur"/>
    <s v="salarié"/>
    <s v="CDD"/>
    <s v="TC"/>
    <n v="1"/>
    <s v="NUIT"/>
    <s v="400"/>
    <n v="1"/>
    <n v="7"/>
    <n v="25720"/>
    <n v="26156.023906499271"/>
    <n v="250"/>
    <n v="1"/>
    <n v="0"/>
    <n v="1"/>
    <n v="0"/>
    <m/>
    <n v="28"/>
    <n v="3"/>
    <s v="0-29"/>
    <s v="1 : 1-4"/>
    <s v="5:+23000"/>
    <n v="26406.023906499271"/>
  </r>
  <r>
    <s v="Barbara"/>
    <s v="F"/>
    <d v="1959-09-13T00:00:00"/>
    <d v="1998-04-13T00:00:00"/>
    <s v="Niv.3"/>
    <s v="1-OUVRIER"/>
    <s v="coef 3"/>
    <s v="catégorie 1"/>
    <s v="PROD"/>
    <s v="Fabrication"/>
    <s v="opérateur"/>
    <s v="salarié"/>
    <s v="CDI"/>
    <s v="TC"/>
    <n v="1"/>
    <s v="JOURNEE"/>
    <s v="500"/>
    <n v="1"/>
    <n v="7"/>
    <n v="11200"/>
    <n v="9589.3240835680372"/>
    <n v="250"/>
    <n v="1"/>
    <n v="0"/>
    <n v="1"/>
    <n v="0"/>
    <m/>
    <n v="60"/>
    <n v="22"/>
    <s v="50 et +"/>
    <s v="5 : 20-24"/>
    <s v="1:7000-14000"/>
    <n v="9839.3240835680372"/>
  </r>
  <r>
    <s v="Barnabé"/>
    <s v="H"/>
    <d v="1991-06-24T00:00:00"/>
    <d v="2013-04-27T00:00:00"/>
    <s v="Niv.4"/>
    <s v="3-TAM"/>
    <s v="coef 4"/>
    <s v="catégorie 3"/>
    <s v="PROD"/>
    <s v="Fabrication"/>
    <s v="technicien"/>
    <s v="salarié"/>
    <s v="CDI"/>
    <s v="TC"/>
    <n v="1"/>
    <s v="NUIT"/>
    <s v="400"/>
    <n v="1"/>
    <n v="28"/>
    <n v="16720"/>
    <n v="16901.70308779904"/>
    <n v="250"/>
    <n v="1"/>
    <n v="0"/>
    <n v="1"/>
    <n v="0"/>
    <m/>
    <n v="29"/>
    <n v="7"/>
    <s v="0-29"/>
    <s v="2 : 5-9"/>
    <s v="2:14000-17000"/>
    <n v="17151.70308779904"/>
  </r>
  <r>
    <s v="Barnard"/>
    <s v="H"/>
    <d v="1991-05-07T00:00:00"/>
    <d v="2014-11-12T00:00:00"/>
    <s v="Niv.7"/>
    <s v="3-TAM"/>
    <s v="coef 5"/>
    <s v="catégorie 3"/>
    <s v="PROD"/>
    <s v="Fabrication"/>
    <s v="chef d'équipe"/>
    <s v="salarié"/>
    <s v="CDI"/>
    <s v="TC"/>
    <n v="1"/>
    <s v="NUIT"/>
    <s v="500"/>
    <n v="1"/>
    <n v="14"/>
    <n v="35440"/>
    <n v="39335.705749000866"/>
    <n v="250"/>
    <n v="1"/>
    <n v="0"/>
    <n v="0"/>
    <n v="0"/>
    <m/>
    <n v="29"/>
    <n v="5"/>
    <s v="0-29"/>
    <s v="2 : 5-9"/>
    <s v="5:+23000"/>
    <n v="39585.705749000866"/>
  </r>
  <r>
    <s v="Barthélémy"/>
    <s v="H"/>
    <d v="1977-01-15T00:00:00"/>
    <d v="1995-05-05T00:00:00"/>
    <s v="Niv.3"/>
    <s v="1-OUVRIER"/>
    <s v="coef 1"/>
    <s v="catégorie 2"/>
    <s v="PROD"/>
    <s v="Fabrication"/>
    <s v="opérateur"/>
    <s v="salarié"/>
    <s v="CDI"/>
    <s v="TC"/>
    <n v="1"/>
    <s v="NUIT"/>
    <s v="200"/>
    <n v="0"/>
    <n v="7"/>
    <n v="20080"/>
    <n v="17663.602358845863"/>
    <n v="250"/>
    <n v="0"/>
    <n v="1"/>
    <n v="0"/>
    <n v="0"/>
    <m/>
    <n v="43"/>
    <n v="25"/>
    <s v="40-49"/>
    <s v="6 : 25-29"/>
    <s v="4:20000-23000"/>
    <n v="17913.602358845863"/>
  </r>
  <r>
    <s v="Basile"/>
    <s v="H"/>
    <d v="1991-09-19T00:00:00"/>
    <d v="2007-11-22T00:00:00"/>
    <s v="Niv.3"/>
    <s v="1-OUVRIER"/>
    <s v="coef 1"/>
    <s v="catégorie 2"/>
    <s v="PROD"/>
    <s v="Conditionnement"/>
    <s v="opérateur"/>
    <s v="salarié"/>
    <s v="CDI"/>
    <s v="TC"/>
    <n v="1"/>
    <s v="NUIT"/>
    <s v="200"/>
    <n v="0"/>
    <n v="0"/>
    <n v="10960"/>
    <n v="7870.7744944180031"/>
    <n v="100"/>
    <n v="0"/>
    <n v="1"/>
    <n v="0"/>
    <n v="0"/>
    <m/>
    <n v="28"/>
    <n v="12"/>
    <s v="0-29"/>
    <s v="3 : 10-14"/>
    <s v="1:7000-14000"/>
    <n v="7970.7744944180031"/>
  </r>
  <r>
    <s v="Baudoin"/>
    <s v="H"/>
    <d v="1999-04-30T00:00:00"/>
    <d v="2016-06-19T00:00:00"/>
    <s v="Niv.7"/>
    <s v="4-CADRE"/>
    <s v="coef 2"/>
    <s v="catégorie 2"/>
    <s v="DIR"/>
    <s v="Direction adjoint"/>
    <s v="directeur"/>
    <s v="salarié"/>
    <s v="CDI"/>
    <s v="TC"/>
    <n v="1"/>
    <s v="NUIT"/>
    <s v="700"/>
    <n v="1"/>
    <n v="0"/>
    <n v="14800"/>
    <n v="15337.539787358197"/>
    <n v="100"/>
    <n v="1"/>
    <n v="0"/>
    <n v="0"/>
    <n v="0"/>
    <m/>
    <n v="21"/>
    <n v="4"/>
    <s v="0-29"/>
    <s v="2 : 5-9"/>
    <s v="2:14000-17000"/>
    <n v="15437.539787358197"/>
  </r>
  <r>
    <s v="Béatrice"/>
    <s v="F"/>
    <d v="1978-05-16T00:00:00"/>
    <d v="2003-12-09T00:00:00"/>
    <s v="Niv.3"/>
    <s v="1-OUVRIER"/>
    <s v="coef 3"/>
    <s v="catégorie 2"/>
    <s v="PROD"/>
    <s v="Conditionnement"/>
    <s v="opérateur"/>
    <s v="apprenti"/>
    <s v="CDI"/>
    <s v="TP"/>
    <n v="0.8"/>
    <s v="JOURNEE"/>
    <s v="100"/>
    <n v="0"/>
    <n v="0"/>
    <n v="30760"/>
    <n v="25043.769958438315"/>
    <n v="250"/>
    <n v="0"/>
    <n v="0"/>
    <n v="0"/>
    <n v="0"/>
    <m/>
    <n v="42"/>
    <n v="16"/>
    <s v="40-49"/>
    <s v="4 : 15-19"/>
    <s v="5:+23000"/>
    <n v="30302.523950125978"/>
  </r>
  <r>
    <s v="Bénédicte"/>
    <s v="F"/>
    <d v="1976-04-29T00:00:00"/>
    <d v="2013-11-04T00:00:00"/>
    <s v="Niv.3"/>
    <s v="1-OUVRIER"/>
    <s v="coef 4"/>
    <s v="catégorie 2"/>
    <s v="PROD"/>
    <s v="Conditionnement"/>
    <s v="opérateur"/>
    <s v="salarié"/>
    <s v="CDI"/>
    <s v="TP"/>
    <n v="0.8"/>
    <s v="JOURNEE"/>
    <s v="100"/>
    <n v="0"/>
    <n v="0"/>
    <n v="20320"/>
    <n v="22400.245119768166"/>
    <n v="500"/>
    <n v="0"/>
    <n v="1"/>
    <n v="0"/>
    <n v="0"/>
    <m/>
    <n v="44"/>
    <n v="6"/>
    <s v="40-49"/>
    <s v="2 : 5-9"/>
    <s v="4:20000-23000"/>
    <n v="27380.2941437218"/>
  </r>
  <r>
    <s v="Benjamin"/>
    <s v="H"/>
    <d v="1978-01-09T00:00:00"/>
    <d v="2007-02-09T00:00:00"/>
    <s v="Niv.6"/>
    <s v="3-TAM"/>
    <s v="coef 5"/>
    <s v="catégorie 1"/>
    <s v="SA"/>
    <s v="Administratif"/>
    <s v="commercial"/>
    <s v="salarié"/>
    <s v="CDI"/>
    <s v="TC"/>
    <n v="1"/>
    <s v="JOURNEE"/>
    <s v="300"/>
    <n v="0"/>
    <n v="14"/>
    <n v="30760"/>
    <n v="33280.696126502342"/>
    <n v="250"/>
    <n v="0"/>
    <n v="0"/>
    <n v="1"/>
    <n v="0"/>
    <m/>
    <n v="42"/>
    <n v="13"/>
    <s v="40-49"/>
    <s v="3 : 10-14"/>
    <s v="5:+23000"/>
    <n v="33530.696126502342"/>
  </r>
  <r>
    <s v="Benoît"/>
    <s v="H"/>
    <d v="1969-09-20T00:00:00"/>
    <d v="2003-11-06T00:00:00"/>
    <s v="Niv.7"/>
    <s v="3-TAM"/>
    <s v="coef 3"/>
    <s v="catégorie 1"/>
    <s v="PROD"/>
    <s v="Conditionnement"/>
    <s v="chef d'équipe"/>
    <s v="salarié"/>
    <s v="CDI"/>
    <s v="TC"/>
    <n v="1"/>
    <s v="JOURNEE"/>
    <s v="500"/>
    <n v="1"/>
    <n v="14"/>
    <n v="22000"/>
    <n v="24337.593439781922"/>
    <n v="250"/>
    <n v="1"/>
    <n v="0"/>
    <n v="0"/>
    <n v="0"/>
    <m/>
    <n v="50"/>
    <n v="16"/>
    <s v="50 et +"/>
    <s v="4 : 15-19"/>
    <s v="4:20000-23000"/>
    <n v="24587.593439781922"/>
  </r>
  <r>
    <s v="Benoît-Joseph"/>
    <s v="H"/>
    <d v="1988-12-25T00:00:00"/>
    <d v="2011-11-02T00:00:00"/>
    <s v="Niv.3"/>
    <s v="1-OUVRIER"/>
    <s v="coef 4"/>
    <s v="catégorie 1"/>
    <s v="PROD"/>
    <s v="Conditionnement"/>
    <s v="opérateur"/>
    <s v="salarié"/>
    <s v="CDI"/>
    <s v="TP"/>
    <n v="0.5"/>
    <s v="JOURNEE"/>
    <s v="200"/>
    <n v="0"/>
    <n v="0"/>
    <n v="17200"/>
    <n v="19430.668181131787"/>
    <n v="250"/>
    <n v="0"/>
    <n v="1"/>
    <n v="0"/>
    <n v="0"/>
    <m/>
    <n v="31"/>
    <n v="8"/>
    <s v="30-39"/>
    <s v="2 : 5-9"/>
    <s v="3:17000-20000"/>
    <n v="29396.002271697682"/>
  </r>
  <r>
    <s v="Bérenger"/>
    <s v="H"/>
    <d v="1964-08-12T00:00:00"/>
    <d v="2013-05-27T00:00:00"/>
    <s v="Niv.3"/>
    <s v="1-OUVRIER"/>
    <s v="coef 1"/>
    <s v="catégorie 1"/>
    <s v="PROD"/>
    <s v="Conditionnement"/>
    <s v="opérateur"/>
    <s v="salarié"/>
    <s v="CDD"/>
    <s v="TC"/>
    <n v="1"/>
    <s v="JOURNEE"/>
    <s v="200"/>
    <n v="0"/>
    <n v="0"/>
    <n v="61000"/>
    <n v="65239.797824614652"/>
    <n v="250"/>
    <n v="0"/>
    <n v="1"/>
    <n v="0"/>
    <n v="0"/>
    <m/>
    <n v="56"/>
    <n v="7"/>
    <s v="50 et +"/>
    <s v="2 : 5-9"/>
    <s v="5:+23000"/>
    <n v="65489.797824614652"/>
  </r>
  <r>
    <s v="Bernadette"/>
    <s v="F"/>
    <d v="1980-10-22T00:00:00"/>
    <d v="2016-05-18T00:00:00"/>
    <s v="Niv.6"/>
    <s v="3-TAM"/>
    <s v="coef 1"/>
    <s v="catégorie 1"/>
    <s v="SA"/>
    <s v="Administratif"/>
    <s v="commercial"/>
    <s v="salarié"/>
    <s v="CDI"/>
    <s v="TP"/>
    <n v="0.8"/>
    <s v="JOURNEE"/>
    <s v="300"/>
    <n v="1"/>
    <n v="21"/>
    <n v="19120"/>
    <n v="16355.195562830715"/>
    <n v="250"/>
    <n v="1"/>
    <n v="0"/>
    <n v="0"/>
    <n v="0"/>
    <m/>
    <n v="39"/>
    <n v="4"/>
    <s v="40-49"/>
    <s v="2 : 5-9"/>
    <s v="3:17000-20000"/>
    <n v="19876.234675396856"/>
  </r>
  <r>
    <s v="Bernard"/>
    <s v="H"/>
    <d v="1967-11-10T00:00:00"/>
    <d v="1994-04-04T00:00:00"/>
    <s v="Niv.3"/>
    <s v="1-OUVRIER"/>
    <s v="coef 1"/>
    <s v="catégorie 1"/>
    <s v="PROD"/>
    <s v="Conditionnement"/>
    <s v="opérateur"/>
    <s v="salarié"/>
    <s v="Contrat Aidé"/>
    <s v="TP"/>
    <n v="0.8"/>
    <s v="JOURNEE"/>
    <s v="100"/>
    <n v="0"/>
    <n v="0"/>
    <n v="34360"/>
    <n v="28553.368070922246"/>
    <n v="250"/>
    <n v="0"/>
    <n v="1"/>
    <n v="0"/>
    <n v="0"/>
    <m/>
    <n v="52"/>
    <n v="26"/>
    <s v="50 et +"/>
    <s v="6 : 25-29"/>
    <s v="5:+23000"/>
    <n v="34514.041685106691"/>
  </r>
  <r>
    <s v="Bernardin"/>
    <s v="H"/>
    <d v="1957-11-01T00:00:00"/>
    <d v="2005-01-12T00:00:00"/>
    <s v="Niv.3"/>
    <s v="1-OUVRIER"/>
    <s v="coef 5"/>
    <s v="catégorie 1"/>
    <s v="PROD"/>
    <s v="Fabrication"/>
    <s v="opérateur"/>
    <s v="salarié"/>
    <s v="CDI"/>
    <s v="TP"/>
    <n v="0.8"/>
    <s v="NUIT"/>
    <s v="300"/>
    <n v="0"/>
    <n v="7"/>
    <n v="51280"/>
    <n v="44152.783778367717"/>
    <n v="100"/>
    <n v="0"/>
    <n v="0"/>
    <n v="1"/>
    <n v="0"/>
    <m/>
    <n v="62"/>
    <n v="15"/>
    <s v="50 et +"/>
    <s v="4 : 15-19"/>
    <s v="5:+23000"/>
    <n v="53083.340534041257"/>
  </r>
  <r>
    <s v="Bertille"/>
    <s v="F"/>
    <d v="1995-12-16T00:00:00"/>
    <d v="2015-12-01T00:00:00"/>
    <s v="Niv.3"/>
    <s v="1-OUVRIER"/>
    <s v="coef 2"/>
    <s v="catégorie 1"/>
    <s v="PROD"/>
    <s v="Fabrication"/>
    <s v="opérateur"/>
    <s v="salarié"/>
    <s v="CDI"/>
    <s v="TP"/>
    <n v="0.5"/>
    <s v="NUIT"/>
    <s v="300"/>
    <n v="0"/>
    <n v="7"/>
    <n v="24280"/>
    <n v="19841.042579528996"/>
    <n v="250"/>
    <n v="0"/>
    <n v="0"/>
    <n v="1"/>
    <n v="0"/>
    <m/>
    <n v="24"/>
    <n v="4"/>
    <s v="0-29"/>
    <s v="2 : 5-9"/>
    <s v="5:+23000"/>
    <n v="30011.563869293495"/>
  </r>
  <r>
    <s v="Bertrand"/>
    <s v="H"/>
    <d v="1961-08-20T00:00:00"/>
    <d v="2011-04-22T00:00:00"/>
    <s v="Niv.6"/>
    <s v="3-TAM"/>
    <s v="coef 3"/>
    <s v="catégorie 1"/>
    <s v="SA"/>
    <s v="Administratif"/>
    <s v="commercial"/>
    <s v="salarié"/>
    <s v="CDI"/>
    <s v="TC"/>
    <n v="1"/>
    <s v="NUIT"/>
    <s v="500"/>
    <n v="1"/>
    <n v="14"/>
    <n v="10960"/>
    <n v="8959.0759426308414"/>
    <n v="250"/>
    <n v="1"/>
    <n v="0"/>
    <n v="0"/>
    <n v="0"/>
    <m/>
    <n v="59"/>
    <n v="9"/>
    <s v="50 et +"/>
    <s v="3 : 10-14"/>
    <s v="1:7000-14000"/>
    <n v="9209.0759426308414"/>
  </r>
  <r>
    <s v="Bienvenue"/>
    <s v="H"/>
    <d v="1996-08-03T00:00:00"/>
    <d v="2016-09-22T00:00:00"/>
    <s v="Niv.7"/>
    <s v="2-EMPLOYE"/>
    <s v="coef 4"/>
    <s v="catégorie 1"/>
    <s v="SA"/>
    <s v="Administratif"/>
    <s v="support informatique"/>
    <s v="salarié"/>
    <s v="CDD"/>
    <s v="TP"/>
    <n v="0.8"/>
    <s v="JOURNEE"/>
    <s v="200"/>
    <n v="1"/>
    <n v="7"/>
    <n v="41800"/>
    <n v="37366.457711833384"/>
    <n v="250"/>
    <n v="1"/>
    <n v="1"/>
    <n v="1"/>
    <n v="0"/>
    <m/>
    <n v="24"/>
    <n v="3"/>
    <s v="0-29"/>
    <s v="1 : 1-4"/>
    <s v="5:+23000"/>
    <n v="45089.749254200062"/>
  </r>
  <r>
    <s v="Blaise"/>
    <s v="H"/>
    <d v="1984-07-02T00:00:00"/>
    <d v="2007-07-03T00:00:00"/>
    <s v="Niv.3"/>
    <s v="1-OUVRIER"/>
    <s v="coef 5"/>
    <s v="catégorie 1"/>
    <s v="PROD"/>
    <s v="Fabrication"/>
    <s v="opérateur"/>
    <s v="salarié"/>
    <s v="CDI"/>
    <s v="TC"/>
    <n v="1"/>
    <s v="JOURNEE"/>
    <s v="300"/>
    <n v="0"/>
    <n v="7"/>
    <n v="18400"/>
    <n v="18301.102004723507"/>
    <n v="250"/>
    <n v="0"/>
    <n v="0"/>
    <n v="0"/>
    <n v="1"/>
    <m/>
    <n v="36"/>
    <n v="13"/>
    <s v="30-39"/>
    <s v="3 : 10-14"/>
    <s v="3:17000-20000"/>
    <n v="18551.102004723507"/>
  </r>
  <r>
    <s v="Blandine"/>
    <s v="F"/>
    <d v="1975-12-05T00:00:00"/>
    <d v="2004-11-26T00:00:00"/>
    <s v="Niv.3"/>
    <s v="1-OUVRIER"/>
    <s v="coef 1"/>
    <s v="catégorie 2"/>
    <s v="PROD"/>
    <s v="Fabrication"/>
    <s v="opérateur"/>
    <s v="salarié"/>
    <s v="CDD"/>
    <s v="TC"/>
    <n v="1"/>
    <s v="NUIT"/>
    <s v="300"/>
    <n v="0"/>
    <n v="7"/>
    <n v="20320"/>
    <n v="16403.52478845045"/>
    <n v="500"/>
    <n v="0"/>
    <n v="0"/>
    <n v="1"/>
    <n v="1"/>
    <m/>
    <n v="44"/>
    <n v="15"/>
    <s v="40-49"/>
    <s v="4 : 15-19"/>
    <s v="4:20000-23000"/>
    <n v="16903.52478845045"/>
  </r>
  <r>
    <s v="Boris"/>
    <s v="H"/>
    <d v="1970-03-14T00:00:00"/>
    <d v="2009-06-04T00:00:00"/>
    <s v="Niv.3"/>
    <s v="1-OUVRIER"/>
    <s v="coef 1"/>
    <s v="catégorie 1"/>
    <s v="PROD"/>
    <s v="Fabrication"/>
    <s v="opérateur"/>
    <s v="salarié"/>
    <s v="CDI"/>
    <s v="TC"/>
    <n v="1"/>
    <s v="JOURNEE"/>
    <s v="500"/>
    <n v="1"/>
    <n v="7"/>
    <n v="21760"/>
    <n v="25490.715815212352"/>
    <n v="250"/>
    <n v="1"/>
    <n v="0"/>
    <n v="1"/>
    <n v="0"/>
    <m/>
    <n v="50"/>
    <n v="11"/>
    <s v="50 et +"/>
    <s v="3 : 10-14"/>
    <s v="4:20000-23000"/>
    <n v="25740.715815212352"/>
  </r>
  <r>
    <s v="Brice"/>
    <s v="H"/>
    <d v="1996-02-24T00:00:00"/>
    <d v="2011-05-07T00:00:00"/>
    <s v="Niv.4"/>
    <s v="3-TAM"/>
    <s v="coef 1"/>
    <s v="catégorie 1"/>
    <s v="PROD"/>
    <s v="Fabrication"/>
    <s v="technicien"/>
    <s v="salarié"/>
    <s v="CDI"/>
    <s v="TC"/>
    <n v="1"/>
    <s v="NUIT"/>
    <s v="500"/>
    <n v="1"/>
    <n v="28"/>
    <n v="24280"/>
    <n v="19351.693647972817"/>
    <n v="250"/>
    <n v="1"/>
    <n v="0"/>
    <n v="1"/>
    <n v="0"/>
    <m/>
    <n v="24"/>
    <n v="9"/>
    <s v="0-29"/>
    <s v="3 : 10-14"/>
    <s v="5:+23000"/>
    <n v="19601.693647972817"/>
  </r>
  <r>
    <s v="Brigitte"/>
    <s v="F"/>
    <d v="1989-06-02T00:00:00"/>
    <d v="2010-01-24T00:00:00"/>
    <s v="Niv.7"/>
    <s v="3-TAM"/>
    <s v="coef 2"/>
    <s v="catégorie 1"/>
    <s v="PROD"/>
    <s v="Fabrication"/>
    <s v="chef d'équipe"/>
    <s v="salarié"/>
    <s v="CDI"/>
    <s v="TC"/>
    <n v="1"/>
    <s v="NUIT"/>
    <s v="500"/>
    <n v="1"/>
    <n v="14"/>
    <n v="36400"/>
    <n v="40705.97371992001"/>
    <n v="250"/>
    <n v="1"/>
    <n v="0"/>
    <n v="0"/>
    <n v="0"/>
    <m/>
    <n v="31"/>
    <n v="10"/>
    <s v="30-39"/>
    <s v="3 : 10-14"/>
    <s v="5:+23000"/>
    <n v="40955.97371992001"/>
  </r>
  <r>
    <s v="Bruno"/>
    <s v="H"/>
    <d v="1979-09-15T00:00:00"/>
    <d v="1998-02-04T00:00:00"/>
    <s v="Niv.3"/>
    <s v="1-OUVRIER"/>
    <s v="coef 3"/>
    <s v="catégorie 1"/>
    <s v="PROD"/>
    <s v="Fabrication"/>
    <s v="opérateur"/>
    <s v="salarié"/>
    <s v="CDI"/>
    <s v="TC"/>
    <n v="1"/>
    <s v="NUIT"/>
    <s v="200"/>
    <n v="0"/>
    <n v="7"/>
    <n v="19600"/>
    <n v="21482.696396953514"/>
    <n v="500"/>
    <n v="0"/>
    <n v="1"/>
    <n v="0"/>
    <n v="0"/>
    <m/>
    <n v="40"/>
    <n v="22"/>
    <s v="40-49"/>
    <s v="5 : 20-24"/>
    <s v="3:17000-20000"/>
    <n v="21982.696396953514"/>
  </r>
  <r>
    <s v="Carine"/>
    <s v="F"/>
    <d v="1960-11-04T00:00:00"/>
    <d v="1984-01-21T00:00:00"/>
    <s v="Niv.3"/>
    <s v="1-OUVRIER"/>
    <s v="coef 4"/>
    <m/>
    <s v="PROD"/>
    <s v="Conditionnement"/>
    <s v="opérateur"/>
    <s v="salarié"/>
    <s v="CDI"/>
    <s v="TC"/>
    <n v="1"/>
    <s v="NUIT"/>
    <s v="200"/>
    <n v="1"/>
    <n v="0"/>
    <n v="49840"/>
    <n v="55231.13249129249"/>
    <n v="500"/>
    <n v="1"/>
    <n v="1"/>
    <n v="0"/>
    <n v="0"/>
    <m/>
    <n v="59"/>
    <n v="36"/>
    <s v="50 et +"/>
    <s v="8 : 35-39"/>
    <s v="5:+23000"/>
    <n v="55731.13249129249"/>
  </r>
  <r>
    <s v="Casimir"/>
    <s v="H"/>
    <d v="1994-04-17T00:00:00"/>
    <d v="2017-01-27T00:00:00"/>
    <s v="Niv.3"/>
    <s v="1-OUVRIER"/>
    <s v="coef 5"/>
    <s v="catégorie 1"/>
    <s v="PROD"/>
    <s v="Conditionnement"/>
    <s v="opérateur"/>
    <s v="salarié"/>
    <s v="CDI"/>
    <s v="TP"/>
    <n v="0.8"/>
    <s v="JOURNEE"/>
    <s v="100"/>
    <n v="0"/>
    <n v="0"/>
    <n v="25000"/>
    <n v="28565.104428200088"/>
    <n v="250"/>
    <n v="0"/>
    <n v="0"/>
    <n v="0"/>
    <n v="0"/>
    <m/>
    <n v="26"/>
    <n v="3"/>
    <s v="0-29"/>
    <s v="1 : 1-4"/>
    <s v="5:+23000"/>
    <n v="34528.125313840101"/>
  </r>
  <r>
    <s v="Catherine"/>
    <s v="F"/>
    <d v="1965-10-15T00:00:00"/>
    <d v="2005-04-27T00:00:00"/>
    <s v="Niv.3"/>
    <s v="1-OUVRIER"/>
    <s v="coef 1"/>
    <s v="catégorie 1"/>
    <s v="PROD"/>
    <s v="Conditionnement"/>
    <s v="opérateur"/>
    <s v="salarié"/>
    <s v="CDI"/>
    <s v="TP"/>
    <n v="0.8"/>
    <s v="JOURNEE"/>
    <s v="100"/>
    <n v="0"/>
    <n v="0"/>
    <n v="22720"/>
    <n v="22153.990747239281"/>
    <n v="250"/>
    <n v="0"/>
    <n v="1"/>
    <n v="0"/>
    <n v="0"/>
    <m/>
    <n v="54"/>
    <n v="15"/>
    <s v="50 et +"/>
    <s v="4 : 15-19"/>
    <s v="4:20000-23000"/>
    <n v="26834.788896687136"/>
  </r>
  <r>
    <s v="Cécile"/>
    <s v="F"/>
    <d v="1967-04-11T00:00:00"/>
    <d v="1994-05-18T00:00:00"/>
    <s v="Niv.7"/>
    <s v="3-TAM"/>
    <s v="coef 1"/>
    <s v="catégorie 1"/>
    <s v="SA"/>
    <s v="Administratif"/>
    <s v="gestion rh"/>
    <s v="expatrié"/>
    <s v="CDI"/>
    <s v="TC"/>
    <n v="1"/>
    <s v="JOURNEE"/>
    <s v="300"/>
    <n v="0"/>
    <n v="14"/>
    <n v="34720"/>
    <n v="29615.722811342021"/>
    <n v="250"/>
    <n v="0"/>
    <n v="0"/>
    <n v="1"/>
    <n v="0"/>
    <m/>
    <n v="53"/>
    <n v="26"/>
    <s v="50 et +"/>
    <s v="6 : 25-29"/>
    <s v="5:+23000"/>
    <n v="29865.722811342021"/>
  </r>
  <r>
    <s v="Céline"/>
    <s v="F"/>
    <d v="1964-02-24T00:00:00"/>
    <d v="2014-09-04T00:00:00"/>
    <s v="Niv.5"/>
    <s v="3-TAM"/>
    <s v="coef 2"/>
    <s v="catégorie 1"/>
    <s v="PROD"/>
    <s v="Conditionnement"/>
    <s v="agent de maintenance"/>
    <s v="salarié"/>
    <s v="CDI"/>
    <s v="TP"/>
    <n v="0.8"/>
    <s v="JOURNEE"/>
    <s v="300"/>
    <n v="0"/>
    <n v="14"/>
    <n v="61000"/>
    <n v="63297.413159511823"/>
    <n v="250"/>
    <n v="0"/>
    <n v="0"/>
    <n v="0"/>
    <n v="0"/>
    <m/>
    <n v="56"/>
    <n v="5"/>
    <s v="50 et +"/>
    <s v="2 : 5-9"/>
    <s v="5:+23000"/>
    <n v="76206.895791414179"/>
  </r>
  <r>
    <s v="Charles"/>
    <s v="H"/>
    <d v="1984-04-28T00:00:00"/>
    <d v="2013-08-30T00:00:00"/>
    <s v="Niv.3"/>
    <s v="1-OUVRIER"/>
    <s v="coef 1"/>
    <s v="catégorie 2"/>
    <s v="PROD"/>
    <s v="Conditionnement"/>
    <s v="opérateur"/>
    <s v="salarié"/>
    <s v="CDI"/>
    <s v="TP"/>
    <n v="0.5"/>
    <s v="JOURNEE"/>
    <s v="200"/>
    <n v="0"/>
    <n v="0"/>
    <n v="28600"/>
    <n v="34396.47936039092"/>
    <n v="250"/>
    <n v="0"/>
    <n v="1"/>
    <n v="0"/>
    <n v="0"/>
    <m/>
    <n v="36"/>
    <n v="7"/>
    <s v="30-39"/>
    <s v="2 : 5-9"/>
    <s v="5:+23000"/>
    <n v="51844.71904058638"/>
  </r>
  <r>
    <s v="Charlotte"/>
    <s v="F"/>
    <d v="1985-10-01T00:00:00"/>
    <d v="2006-11-22T00:00:00"/>
    <s v="Niv.3"/>
    <s v="1-OUVRIER"/>
    <s v="coef 3"/>
    <s v="catégorie 3"/>
    <s v="PROD"/>
    <s v="Conditionnement"/>
    <s v="opérateur"/>
    <s v="salarié"/>
    <s v="CDD"/>
    <s v="TC"/>
    <n v="1"/>
    <s v="JOURNEE"/>
    <s v="200"/>
    <n v="0"/>
    <n v="0"/>
    <n v="37840"/>
    <n v="31455.664534208503"/>
    <n v="100"/>
    <n v="0"/>
    <n v="1"/>
    <n v="0"/>
    <n v="0"/>
    <m/>
    <n v="34"/>
    <n v="13"/>
    <s v="30-39"/>
    <s v="3 : 10-14"/>
    <s v="5:+23000"/>
    <n v="31555.664534208503"/>
  </r>
  <r>
    <s v="Christian"/>
    <s v="H"/>
    <d v="1963-02-18T00:00:00"/>
    <d v="2003-03-13T00:00:00"/>
    <s v="Niv.6"/>
    <s v="3-TAM"/>
    <s v="coef 4"/>
    <s v="catégorie 2"/>
    <s v="SA"/>
    <s v="Administratif"/>
    <s v="commercial"/>
    <s v="apprenti"/>
    <s v="CDI"/>
    <s v="TP"/>
    <n v="0.8"/>
    <s v="JOURNEE"/>
    <s v="300"/>
    <n v="1"/>
    <n v="21"/>
    <n v="23440"/>
    <n v="25871.461468719062"/>
    <n v="250"/>
    <n v="1"/>
    <n v="0"/>
    <n v="0"/>
    <n v="0"/>
    <m/>
    <n v="57"/>
    <n v="17"/>
    <s v="50 et +"/>
    <s v="4 : 15-19"/>
    <s v="5:+23000"/>
    <n v="31295.753762462875"/>
  </r>
  <r>
    <s v="Christine"/>
    <s v="F"/>
    <d v="1960-03-09T00:00:00"/>
    <d v="2002-06-24T00:00:00"/>
    <s v="Niv.3"/>
    <s v="1-OUVRIER"/>
    <s v="coef 5"/>
    <s v="catégorie 3"/>
    <s v="PROD"/>
    <s v="Conditionnement"/>
    <s v="opérateur"/>
    <s v="salarié"/>
    <s v="Contrat Aidé"/>
    <s v="TP"/>
    <n v="0.8"/>
    <s v="JOURNEE"/>
    <s v="100"/>
    <n v="0"/>
    <n v="0"/>
    <n v="37240"/>
    <n v="35783.501524842031"/>
    <n v="100"/>
    <n v="0"/>
    <n v="1"/>
    <n v="0"/>
    <n v="0"/>
    <m/>
    <n v="60"/>
    <n v="18"/>
    <s v="50 et +"/>
    <s v="4 : 15-19"/>
    <s v="5:+23000"/>
    <n v="43040.201829810438"/>
  </r>
  <r>
    <s v="Christophe"/>
    <s v="H"/>
    <d v="1993-10-15T00:00:00"/>
    <d v="2009-06-29T00:00:00"/>
    <s v="Niv.3"/>
    <s v="1-OUVRIER"/>
    <s v="coef 1"/>
    <s v="catégorie 1"/>
    <s v="PROD"/>
    <s v="Fabrication"/>
    <s v="opérateur"/>
    <s v="salarié"/>
    <s v="CDI"/>
    <s v="TP"/>
    <n v="0.8"/>
    <s v="NUIT"/>
    <s v="400"/>
    <n v="1"/>
    <n v="7"/>
    <n v="43000"/>
    <n v="47150.209801328267"/>
    <n v="250"/>
    <n v="1"/>
    <n v="0"/>
    <n v="1"/>
    <n v="0"/>
    <m/>
    <n v="26"/>
    <n v="11"/>
    <s v="0-29"/>
    <s v="3 : 10-14"/>
    <s v="5:+23000"/>
    <n v="56830.251761593921"/>
  </r>
  <r>
    <s v="Claire"/>
    <s v="F"/>
    <d v="1970-03-26T00:00:00"/>
    <d v="2001-05-16T00:00:00"/>
    <s v="Niv.3"/>
    <s v="1-OUVRIER"/>
    <s v="coef 1"/>
    <s v="catégorie 1"/>
    <s v="PROD"/>
    <s v="Fabrication"/>
    <s v="opérateur"/>
    <s v="contrat pro."/>
    <s v="CDI"/>
    <s v="TP"/>
    <n v="0.5"/>
    <s v="NUIT"/>
    <s v="300"/>
    <n v="0"/>
    <n v="7"/>
    <n v="57400"/>
    <n v="58284.15753012606"/>
    <n v="250"/>
    <n v="0"/>
    <n v="0"/>
    <n v="1"/>
    <n v="0"/>
    <m/>
    <n v="50"/>
    <n v="19"/>
    <s v="50 et +"/>
    <s v="5 : 20-24"/>
    <s v="5:+23000"/>
    <n v="87676.236295189097"/>
  </r>
  <r>
    <s v="Honoré"/>
    <s v="H"/>
    <d v="1985-10-03T00:00:00"/>
    <d v="1989-06-06T00:00:00"/>
    <s v="Niv.6"/>
    <s v="3-TAM"/>
    <s v="coef 2"/>
    <s v="catégorie 3"/>
    <s v="SA"/>
    <s v="Administratif"/>
    <s v="logistique"/>
    <s v="salarié"/>
    <s v="CDI"/>
    <s v="TP"/>
    <n v="0.8"/>
    <s v="NUIT"/>
    <s v="400"/>
    <n v="1"/>
    <n v="14"/>
    <n v="17000"/>
    <n v="20000"/>
    <n v="250"/>
    <n v="1"/>
    <n v="0"/>
    <n v="0"/>
    <n v="0"/>
    <m/>
    <n v="34"/>
    <n v="31"/>
    <s v="30-39"/>
    <s v="7 : 30-34"/>
    <s v="3:17000-20000"/>
    <n v="24250"/>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r>
    <m/>
    <m/>
    <m/>
    <m/>
    <m/>
    <m/>
    <m/>
    <m/>
    <m/>
    <m/>
    <m/>
    <m/>
    <m/>
    <m/>
    <m/>
    <m/>
    <m/>
    <m/>
    <m/>
    <m/>
    <m/>
    <m/>
    <m/>
    <m/>
    <m/>
    <m/>
    <m/>
    <s v=""/>
    <s v=""/>
    <s v=""/>
    <s v=""/>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0">
  <r>
    <x v="0"/>
    <x v="0"/>
    <d v="1959-01-13T00:00:00"/>
    <d v="1995-02-15T00:00:00"/>
    <s v="Niv.2"/>
    <x v="0"/>
    <x v="0"/>
    <x v="0"/>
    <x v="0"/>
    <x v="0"/>
    <x v="0"/>
    <x v="0"/>
    <x v="0"/>
    <x v="0"/>
    <n v="0.5"/>
    <x v="0"/>
    <x v="0"/>
    <x v="0"/>
    <n v="7"/>
    <n v="22240"/>
    <n v="15301.473660819251"/>
    <n v="100"/>
    <n v="0"/>
    <x v="0"/>
    <x v="0"/>
    <n v="0"/>
    <x v="0"/>
    <n v="61"/>
    <n v="25"/>
    <x v="0"/>
    <x v="0"/>
    <x v="0"/>
    <n v="27762.575379999998"/>
    <x v="0"/>
    <x v="0"/>
  </r>
  <r>
    <x v="1"/>
    <x v="0"/>
    <d v="1959-09-16T00:00:00"/>
    <d v="1975-12-19T00:00:00"/>
    <s v="Niv.7"/>
    <x v="1"/>
    <x v="1"/>
    <x v="0"/>
    <x v="0"/>
    <x v="1"/>
    <x v="1"/>
    <x v="0"/>
    <x v="0"/>
    <x v="0"/>
    <n v="0.8"/>
    <x v="0"/>
    <x v="0"/>
    <x v="0"/>
    <n v="14"/>
    <n v="20320"/>
    <n v="12191.418489269836"/>
    <n v="250"/>
    <n v="0"/>
    <x v="0"/>
    <x v="1"/>
    <n v="0"/>
    <x v="0"/>
    <n v="60"/>
    <n v="44"/>
    <x v="0"/>
    <x v="1"/>
    <x v="0"/>
    <n v="18611.7683929831"/>
    <x v="0"/>
    <x v="1"/>
  </r>
  <r>
    <x v="2"/>
    <x v="0"/>
    <d v="1959-04-20T00:00:00"/>
    <d v="1978-02-28T00:00:00"/>
    <s v="Niv.6"/>
    <x v="2"/>
    <x v="2"/>
    <x v="0"/>
    <x v="1"/>
    <x v="2"/>
    <x v="2"/>
    <x v="0"/>
    <x v="1"/>
    <x v="0"/>
    <n v="0.8"/>
    <x v="1"/>
    <x v="1"/>
    <x v="0"/>
    <n v="7"/>
    <n v="14320"/>
    <n v="21896.184838227273"/>
    <n v="250"/>
    <n v="1"/>
    <x v="1"/>
    <x v="0"/>
    <n v="0"/>
    <x v="0"/>
    <n v="61"/>
    <n v="42"/>
    <x v="0"/>
    <x v="1"/>
    <x v="1"/>
    <n v="14879.702187123803"/>
    <x v="0"/>
    <x v="2"/>
  </r>
  <r>
    <x v="3"/>
    <x v="0"/>
    <d v="1960-02-26T00:00:00"/>
    <d v="1979-01-09T00:00:00"/>
    <s v="Niv.3"/>
    <x v="0"/>
    <x v="3"/>
    <x v="0"/>
    <x v="0"/>
    <x v="0"/>
    <x v="0"/>
    <x v="0"/>
    <x v="0"/>
    <x v="1"/>
    <n v="1"/>
    <x v="1"/>
    <x v="2"/>
    <x v="0"/>
    <n v="7"/>
    <n v="25000"/>
    <n v="44066.416583509075"/>
    <n v="250"/>
    <n v="0"/>
    <x v="0"/>
    <x v="1"/>
    <n v="0"/>
    <x v="0"/>
    <n v="60"/>
    <n v="41"/>
    <x v="0"/>
    <x v="1"/>
    <x v="2"/>
    <n v="22146.184838227273"/>
    <x v="0"/>
    <x v="3"/>
  </r>
  <r>
    <x v="4"/>
    <x v="0"/>
    <d v="1962-09-07T00:00:00"/>
    <d v="1981-06-26T00:00:00"/>
    <s v="Niv.3"/>
    <x v="1"/>
    <x v="1"/>
    <x v="0"/>
    <x v="0"/>
    <x v="0"/>
    <x v="0"/>
    <x v="0"/>
    <x v="1"/>
    <x v="1"/>
    <n v="1"/>
    <x v="0"/>
    <x v="2"/>
    <x v="1"/>
    <n v="7"/>
    <n v="47920"/>
    <n v="35335.765235019375"/>
    <n v="100"/>
    <n v="0"/>
    <x v="0"/>
    <x v="0"/>
    <n v="0"/>
    <x v="0"/>
    <n v="57"/>
    <n v="39"/>
    <x v="0"/>
    <x v="1"/>
    <x v="2"/>
    <n v="44166.416583509075"/>
    <x v="0"/>
    <x v="4"/>
  </r>
  <r>
    <x v="5"/>
    <x v="1"/>
    <d v="1958-07-08T00:00:00"/>
    <d v="1981-08-20T00:00:00"/>
    <s v="Niv.3"/>
    <x v="2"/>
    <x v="2"/>
    <x v="0"/>
    <x v="0"/>
    <x v="0"/>
    <x v="0"/>
    <x v="0"/>
    <x v="0"/>
    <x v="1"/>
    <n v="1"/>
    <x v="1"/>
    <x v="3"/>
    <x v="1"/>
    <n v="7"/>
    <n v="35080"/>
    <n v="35866.948722056019"/>
    <n v="250"/>
    <n v="1"/>
    <x v="0"/>
    <x v="0"/>
    <n v="0"/>
    <x v="0"/>
    <n v="62"/>
    <n v="39"/>
    <x v="0"/>
    <x v="1"/>
    <x v="2"/>
    <n v="35585.765235019375"/>
    <x v="0"/>
    <x v="4"/>
  </r>
  <r>
    <x v="6"/>
    <x v="0"/>
    <d v="1959-10-07T00:00:00"/>
    <d v="1981-10-05T00:00:00"/>
    <s v="Niv.4"/>
    <x v="0"/>
    <x v="4"/>
    <x v="0"/>
    <x v="0"/>
    <x v="0"/>
    <x v="3"/>
    <x v="0"/>
    <x v="0"/>
    <x v="1"/>
    <n v="1"/>
    <x v="0"/>
    <x v="0"/>
    <x v="1"/>
    <n v="28"/>
    <n v="32920"/>
    <n v="18078.426723453955"/>
    <n v="250"/>
    <n v="1"/>
    <x v="0"/>
    <x v="0"/>
    <n v="0"/>
    <x v="0"/>
    <n v="60"/>
    <n v="38"/>
    <x v="0"/>
    <x v="2"/>
    <x v="2"/>
    <n v="36116.948722056019"/>
    <x v="0"/>
    <x v="4"/>
  </r>
  <r>
    <x v="7"/>
    <x v="0"/>
    <d v="1965-12-05T00:00:00"/>
    <d v="1982-04-14T00:00:00"/>
    <s v="Niv.7"/>
    <x v="1"/>
    <x v="4"/>
    <x v="0"/>
    <x v="0"/>
    <x v="0"/>
    <x v="4"/>
    <x v="0"/>
    <x v="0"/>
    <x v="1"/>
    <n v="1"/>
    <x v="0"/>
    <x v="3"/>
    <x v="1"/>
    <n v="14"/>
    <n v="14320"/>
    <n v="46671.203665014938"/>
    <n v="250"/>
    <n v="1"/>
    <x v="0"/>
    <x v="1"/>
    <n v="0"/>
    <x v="0"/>
    <n v="54"/>
    <n v="38"/>
    <x v="0"/>
    <x v="2"/>
    <x v="1"/>
    <n v="18328.426723453955"/>
    <x v="0"/>
    <x v="4"/>
  </r>
  <r>
    <x v="8"/>
    <x v="0"/>
    <d v="1960-08-22T00:00:00"/>
    <d v="1982-08-15T00:00:00"/>
    <s v="Niv.3"/>
    <x v="2"/>
    <x v="4"/>
    <x v="0"/>
    <x v="0"/>
    <x v="0"/>
    <x v="0"/>
    <x v="0"/>
    <x v="0"/>
    <x v="1"/>
    <n v="1"/>
    <x v="0"/>
    <x v="1"/>
    <x v="0"/>
    <n v="7"/>
    <n v="46600"/>
    <n v="61257.913039472201"/>
    <n v="500"/>
    <n v="0"/>
    <x v="1"/>
    <x v="1"/>
    <n v="0"/>
    <x v="0"/>
    <n v="60"/>
    <n v="38"/>
    <x v="0"/>
    <x v="2"/>
    <x v="2"/>
    <n v="47171.203665014938"/>
    <x v="0"/>
    <x v="4"/>
  </r>
  <r>
    <x v="9"/>
    <x v="0"/>
    <d v="1964-06-29T00:00:00"/>
    <d v="1983-09-21T00:00:00"/>
    <s v="Niv.3"/>
    <x v="0"/>
    <x v="3"/>
    <x v="0"/>
    <x v="0"/>
    <x v="3"/>
    <x v="0"/>
    <x v="0"/>
    <x v="0"/>
    <x v="1"/>
    <n v="1"/>
    <x v="0"/>
    <x v="1"/>
    <x v="1"/>
    <n v="0"/>
    <n v="53800"/>
    <n v="14966.646053739798"/>
    <n v="250"/>
    <n v="1"/>
    <x v="1"/>
    <x v="1"/>
    <n v="0"/>
    <x v="0"/>
    <n v="56"/>
    <n v="36"/>
    <x v="0"/>
    <x v="2"/>
    <x v="2"/>
    <n v="61507.913039472201"/>
    <x v="0"/>
    <x v="4"/>
  </r>
  <r>
    <x v="10"/>
    <x v="1"/>
    <d v="1960-11-04T00:00:00"/>
    <d v="1984-01-21T00:00:00"/>
    <s v="Niv.7"/>
    <x v="1"/>
    <x v="0"/>
    <x v="0"/>
    <x v="2"/>
    <x v="4"/>
    <x v="5"/>
    <x v="0"/>
    <x v="0"/>
    <x v="1"/>
    <n v="1"/>
    <x v="0"/>
    <x v="4"/>
    <x v="1"/>
    <n v="0"/>
    <n v="12400"/>
    <n v="60375.927003436787"/>
    <n v="250"/>
    <n v="1"/>
    <x v="0"/>
    <x v="1"/>
    <n v="0"/>
    <x v="0"/>
    <n v="59"/>
    <n v="36"/>
    <x v="0"/>
    <x v="2"/>
    <x v="3"/>
    <n v="15216.646053739798"/>
    <x v="0"/>
    <x v="4"/>
  </r>
  <r>
    <x v="11"/>
    <x v="0"/>
    <d v="1965-09-18T00:00:00"/>
    <d v="1984-03-15T00:00:00"/>
    <s v="Niv.3"/>
    <x v="2"/>
    <x v="1"/>
    <x v="0"/>
    <x v="0"/>
    <x v="3"/>
    <x v="0"/>
    <x v="0"/>
    <x v="0"/>
    <x v="0"/>
    <n v="0.8"/>
    <x v="1"/>
    <x v="2"/>
    <x v="0"/>
    <n v="0"/>
    <n v="63400"/>
    <n v="31074.922590084563"/>
    <n v="250"/>
    <n v="0"/>
    <x v="0"/>
    <x v="1"/>
    <n v="0"/>
    <x v="0"/>
    <n v="54"/>
    <n v="36"/>
    <x v="0"/>
    <x v="2"/>
    <x v="2"/>
    <n v="72701.112404124142"/>
    <x v="0"/>
    <x v="4"/>
  </r>
  <r>
    <x v="12"/>
    <x v="0"/>
    <d v="1961-01-14T00:00:00"/>
    <d v="1984-04-19T00:00:00"/>
    <s v="Niv.3"/>
    <x v="0"/>
    <x v="2"/>
    <x v="0"/>
    <x v="0"/>
    <x v="3"/>
    <x v="0"/>
    <x v="0"/>
    <x v="0"/>
    <x v="0"/>
    <n v="0.8"/>
    <x v="1"/>
    <x v="2"/>
    <x v="0"/>
    <n v="0"/>
    <n v="37240"/>
    <n v="30421.485326617185"/>
    <n v="500"/>
    <n v="0"/>
    <x v="1"/>
    <x v="1"/>
    <n v="0"/>
    <x v="0"/>
    <n v="59"/>
    <n v="36"/>
    <x v="0"/>
    <x v="2"/>
    <x v="2"/>
    <n v="37789.907108101477"/>
    <x v="0"/>
    <x v="4"/>
  </r>
  <r>
    <x v="13"/>
    <x v="1"/>
    <d v="1962-03-20T00:00:00"/>
    <d v="1984-06-26T00:00:00"/>
    <s v="Niv.7"/>
    <x v="1"/>
    <x v="3"/>
    <x v="0"/>
    <x v="1"/>
    <x v="2"/>
    <x v="6"/>
    <x v="0"/>
    <x v="0"/>
    <x v="1"/>
    <n v="1"/>
    <x v="1"/>
    <x v="3"/>
    <x v="1"/>
    <n v="14"/>
    <n v="31840"/>
    <n v="12623.752744412501"/>
    <n v="250"/>
    <n v="1"/>
    <x v="0"/>
    <x v="0"/>
    <n v="0"/>
    <x v="0"/>
    <n v="58"/>
    <n v="36"/>
    <x v="0"/>
    <x v="2"/>
    <x v="2"/>
    <n v="30671.485326617185"/>
    <x v="0"/>
    <x v="4"/>
  </r>
  <r>
    <x v="14"/>
    <x v="0"/>
    <d v="1965-02-26T00:00:00"/>
    <d v="1984-10-17T00:00:00"/>
    <s v="Niv.7"/>
    <x v="3"/>
    <x v="4"/>
    <x v="0"/>
    <x v="0"/>
    <x v="3"/>
    <x v="4"/>
    <x v="0"/>
    <x v="0"/>
    <x v="1"/>
    <n v="1"/>
    <x v="1"/>
    <x v="3"/>
    <x v="1"/>
    <n v="14"/>
    <n v="10720"/>
    <n v="31945.148853956838"/>
    <n v="250"/>
    <n v="1"/>
    <x v="0"/>
    <x v="1"/>
    <n v="0"/>
    <x v="0"/>
    <n v="55"/>
    <n v="35"/>
    <x v="0"/>
    <x v="2"/>
    <x v="3"/>
    <n v="12873.752744412501"/>
    <x v="0"/>
    <x v="4"/>
  </r>
  <r>
    <x v="15"/>
    <x v="0"/>
    <d v="1961-07-28T00:00:00"/>
    <d v="1985-07-21T00:00:00"/>
    <s v="Niv.3"/>
    <x v="0"/>
    <x v="4"/>
    <x v="1"/>
    <x v="0"/>
    <x v="3"/>
    <x v="0"/>
    <x v="0"/>
    <x v="0"/>
    <x v="0"/>
    <n v="0.5"/>
    <x v="1"/>
    <x v="1"/>
    <x v="0"/>
    <n v="0"/>
    <n v="26800"/>
    <n v="16119.789856479762"/>
    <n v="250"/>
    <n v="0"/>
    <x v="1"/>
    <x v="1"/>
    <n v="0"/>
    <x v="0"/>
    <n v="59"/>
    <n v="35"/>
    <x v="0"/>
    <x v="2"/>
    <x v="2"/>
    <n v="48167.723280935257"/>
    <x v="1"/>
    <x v="4"/>
  </r>
  <r>
    <x v="16"/>
    <x v="0"/>
    <d v="1966-05-14T00:00:00"/>
    <d v="1985-08-08T00:00:00"/>
    <s v="Niv.3"/>
    <x v="0"/>
    <x v="4"/>
    <x v="0"/>
    <x v="0"/>
    <x v="3"/>
    <x v="0"/>
    <x v="0"/>
    <x v="1"/>
    <x v="0"/>
    <n v="0.8"/>
    <x v="1"/>
    <x v="1"/>
    <x v="0"/>
    <n v="0"/>
    <n v="16000"/>
    <n v="46799.381113835698"/>
    <n v="250"/>
    <n v="0"/>
    <x v="1"/>
    <x v="1"/>
    <n v="0"/>
    <x v="0"/>
    <n v="54"/>
    <n v="35"/>
    <x v="0"/>
    <x v="2"/>
    <x v="1"/>
    <n v="19593.747827775715"/>
    <x v="0"/>
    <x v="4"/>
  </r>
  <r>
    <x v="17"/>
    <x v="0"/>
    <d v="1967-06-25T00:00:00"/>
    <d v="1986-02-02T00:00:00"/>
    <s v="Niv.6"/>
    <x v="1"/>
    <x v="0"/>
    <x v="0"/>
    <x v="1"/>
    <x v="2"/>
    <x v="7"/>
    <x v="0"/>
    <x v="0"/>
    <x v="0"/>
    <n v="0.8"/>
    <x v="1"/>
    <x v="3"/>
    <x v="1"/>
    <n v="21"/>
    <n v="47200"/>
    <n v="46969.329868438814"/>
    <n v="250"/>
    <n v="1"/>
    <x v="0"/>
    <x v="1"/>
    <n v="0"/>
    <x v="0"/>
    <n v="53"/>
    <n v="34"/>
    <x v="0"/>
    <x v="2"/>
    <x v="2"/>
    <n v="56409.257336602837"/>
    <x v="0"/>
    <x v="4"/>
  </r>
  <r>
    <x v="18"/>
    <x v="0"/>
    <d v="1965-08-12T00:00:00"/>
    <d v="1986-05-17T00:00:00"/>
    <s v="Niv.3"/>
    <x v="0"/>
    <x v="1"/>
    <x v="0"/>
    <x v="0"/>
    <x v="3"/>
    <x v="0"/>
    <x v="0"/>
    <x v="2"/>
    <x v="0"/>
    <n v="0.8"/>
    <x v="1"/>
    <x v="5"/>
    <x v="0"/>
    <n v="0"/>
    <n v="40000"/>
    <n v="30976.765468004931"/>
    <n v="250"/>
    <n v="0"/>
    <x v="1"/>
    <x v="1"/>
    <n v="0"/>
    <x v="0"/>
    <n v="55"/>
    <n v="34"/>
    <x v="0"/>
    <x v="2"/>
    <x v="2"/>
    <n v="56613.195842126574"/>
    <x v="0"/>
    <x v="4"/>
  </r>
  <r>
    <x v="19"/>
    <x v="0"/>
    <d v="1960-03-08T00:00:00"/>
    <d v="1986-10-16T00:00:00"/>
    <s v="Niv.3"/>
    <x v="0"/>
    <x v="2"/>
    <x v="0"/>
    <x v="0"/>
    <x v="0"/>
    <x v="0"/>
    <x v="0"/>
    <x v="0"/>
    <x v="0"/>
    <n v="0.8"/>
    <x v="0"/>
    <x v="0"/>
    <x v="1"/>
    <n v="7"/>
    <n v="36880"/>
    <n v="52605.998578252838"/>
    <n v="250"/>
    <n v="1"/>
    <x v="0"/>
    <x v="0"/>
    <n v="0"/>
    <x v="0"/>
    <n v="60"/>
    <n v="33"/>
    <x v="0"/>
    <x v="3"/>
    <x v="2"/>
    <n v="37422.118561605916"/>
    <x v="0"/>
    <x v="4"/>
  </r>
  <r>
    <x v="20"/>
    <x v="0"/>
    <d v="1969-01-16T00:00:00"/>
    <d v="1986-11-18T00:00:00"/>
    <s v="Niv.3"/>
    <x v="0"/>
    <x v="3"/>
    <x v="1"/>
    <x v="0"/>
    <x v="0"/>
    <x v="0"/>
    <x v="0"/>
    <x v="0"/>
    <x v="0"/>
    <n v="0.5"/>
    <x v="0"/>
    <x v="2"/>
    <x v="0"/>
    <n v="7"/>
    <n v="64000"/>
    <n v="46333.881914424732"/>
    <n v="250"/>
    <n v="0"/>
    <x v="0"/>
    <x v="0"/>
    <n v="0"/>
    <x v="0"/>
    <n v="51"/>
    <n v="33"/>
    <x v="0"/>
    <x v="3"/>
    <x v="2"/>
    <n v="79158.99786737925"/>
    <x v="1"/>
    <x v="4"/>
  </r>
  <r>
    <x v="21"/>
    <x v="0"/>
    <d v="1963-06-15T00:00:00"/>
    <d v="1987-07-03T00:00:00"/>
    <s v="Niv.6"/>
    <x v="1"/>
    <x v="4"/>
    <x v="2"/>
    <x v="1"/>
    <x v="2"/>
    <x v="8"/>
    <x v="0"/>
    <x v="0"/>
    <x v="0"/>
    <n v="0.8"/>
    <x v="0"/>
    <x v="3"/>
    <x v="1"/>
    <n v="14"/>
    <n v="47920"/>
    <n v="17727.997319887167"/>
    <n v="500"/>
    <n v="1"/>
    <x v="0"/>
    <x v="1"/>
    <n v="1"/>
    <x v="0"/>
    <n v="57"/>
    <n v="33"/>
    <x v="0"/>
    <x v="3"/>
    <x v="2"/>
    <n v="56100.658297309674"/>
    <x v="2"/>
    <x v="4"/>
  </r>
  <r>
    <x v="22"/>
    <x v="0"/>
    <d v="1959-12-07T00:00:00"/>
    <d v="1987-10-05T00:00:00"/>
    <s v="Niv.5"/>
    <x v="2"/>
    <x v="4"/>
    <x v="1"/>
    <x v="1"/>
    <x v="2"/>
    <x v="9"/>
    <x v="0"/>
    <x v="1"/>
    <x v="0"/>
    <n v="0.8"/>
    <x v="1"/>
    <x v="1"/>
    <x v="0"/>
    <n v="7"/>
    <n v="17200"/>
    <n v="41924.283295994217"/>
    <n v="250"/>
    <n v="0"/>
    <x v="1"/>
    <x v="0"/>
    <n v="1"/>
    <x v="0"/>
    <n v="60"/>
    <n v="32"/>
    <x v="0"/>
    <x v="3"/>
    <x v="4"/>
    <n v="21523.596783864599"/>
    <x v="1"/>
    <x v="4"/>
  </r>
  <r>
    <x v="23"/>
    <x v="0"/>
    <d v="1969-09-05T00:00:00"/>
    <d v="1988-03-14T00:00:00"/>
    <s v="Niv.3"/>
    <x v="0"/>
    <x v="0"/>
    <x v="2"/>
    <x v="0"/>
    <x v="0"/>
    <x v="0"/>
    <x v="0"/>
    <x v="0"/>
    <x v="1"/>
    <n v="1"/>
    <x v="1"/>
    <x v="2"/>
    <x v="0"/>
    <n v="7"/>
    <n v="37360"/>
    <n v="26156.023906499271"/>
    <n v="500"/>
    <n v="0"/>
    <x v="0"/>
    <x v="1"/>
    <n v="1"/>
    <x v="0"/>
    <n v="50"/>
    <n v="32"/>
    <x v="0"/>
    <x v="3"/>
    <x v="2"/>
    <n v="42424.283295994217"/>
    <x v="2"/>
    <x v="4"/>
  </r>
  <r>
    <x v="24"/>
    <x v="1"/>
    <d v="1967-08-30T00:00:00"/>
    <d v="1988-05-26T00:00:00"/>
    <s v="Niv.3"/>
    <x v="0"/>
    <x v="4"/>
    <x v="0"/>
    <x v="0"/>
    <x v="0"/>
    <x v="0"/>
    <x v="0"/>
    <x v="1"/>
    <x v="1"/>
    <n v="1"/>
    <x v="0"/>
    <x v="0"/>
    <x v="1"/>
    <n v="7"/>
    <n v="25720"/>
    <n v="9589.3240835680372"/>
    <n v="250"/>
    <n v="1"/>
    <x v="0"/>
    <x v="0"/>
    <n v="0"/>
    <x v="0"/>
    <n v="53"/>
    <n v="32"/>
    <x v="0"/>
    <x v="3"/>
    <x v="2"/>
    <n v="26406.023906499271"/>
    <x v="0"/>
    <x v="4"/>
  </r>
  <r>
    <x v="25"/>
    <x v="0"/>
    <d v="1971-05-28T00:00:00"/>
    <d v="1988-11-14T00:00:00"/>
    <s v="Niv.3"/>
    <x v="0"/>
    <x v="1"/>
    <x v="0"/>
    <x v="0"/>
    <x v="0"/>
    <x v="0"/>
    <x v="0"/>
    <x v="0"/>
    <x v="1"/>
    <n v="1"/>
    <x v="1"/>
    <x v="3"/>
    <x v="1"/>
    <n v="7"/>
    <n v="11200"/>
    <n v="16901.70308779904"/>
    <n v="250"/>
    <n v="1"/>
    <x v="0"/>
    <x v="0"/>
    <n v="0"/>
    <x v="0"/>
    <n v="49"/>
    <n v="31"/>
    <x v="0"/>
    <x v="3"/>
    <x v="3"/>
    <n v="9839.3240835680372"/>
    <x v="0"/>
    <x v="4"/>
  </r>
  <r>
    <x v="26"/>
    <x v="0"/>
    <d v="1970-01-14T00:00:00"/>
    <d v="1989-03-15T00:00:00"/>
    <s v="Niv.4"/>
    <x v="1"/>
    <x v="2"/>
    <x v="2"/>
    <x v="0"/>
    <x v="0"/>
    <x v="3"/>
    <x v="0"/>
    <x v="0"/>
    <x v="1"/>
    <n v="1"/>
    <x v="0"/>
    <x v="0"/>
    <x v="1"/>
    <n v="28"/>
    <n v="16720"/>
    <n v="39335.705749000866"/>
    <n v="250"/>
    <n v="1"/>
    <x v="0"/>
    <x v="0"/>
    <n v="0"/>
    <x v="0"/>
    <n v="50"/>
    <n v="31"/>
    <x v="0"/>
    <x v="3"/>
    <x v="1"/>
    <n v="17151.70308779904"/>
    <x v="2"/>
    <x v="4"/>
  </r>
  <r>
    <x v="27"/>
    <x v="0"/>
    <d v="1973-06-04T00:00:00"/>
    <d v="1989-08-04T00:00:00"/>
    <s v="Niv.7"/>
    <x v="1"/>
    <x v="3"/>
    <x v="2"/>
    <x v="0"/>
    <x v="0"/>
    <x v="4"/>
    <x v="0"/>
    <x v="0"/>
    <x v="1"/>
    <n v="1"/>
    <x v="0"/>
    <x v="3"/>
    <x v="1"/>
    <n v="14"/>
    <n v="35440"/>
    <n v="17663.602358845863"/>
    <n v="250"/>
    <n v="1"/>
    <x v="0"/>
    <x v="1"/>
    <n v="0"/>
    <x v="0"/>
    <n v="47"/>
    <n v="31"/>
    <x v="1"/>
    <x v="3"/>
    <x v="2"/>
    <n v="39585.705749000866"/>
    <x v="2"/>
    <x v="4"/>
  </r>
  <r>
    <x v="28"/>
    <x v="1"/>
    <d v="1962-04-21T00:00:00"/>
    <d v="1989-10-20T00:00:00"/>
    <s v="Niv.3"/>
    <x v="2"/>
    <x v="4"/>
    <x v="1"/>
    <x v="0"/>
    <x v="0"/>
    <x v="0"/>
    <x v="0"/>
    <x v="0"/>
    <x v="1"/>
    <n v="1"/>
    <x v="0"/>
    <x v="1"/>
    <x v="0"/>
    <n v="7"/>
    <n v="20080"/>
    <n v="7870.7744944180031"/>
    <n v="250"/>
    <n v="0"/>
    <x v="1"/>
    <x v="1"/>
    <n v="0"/>
    <x v="0"/>
    <n v="58"/>
    <n v="30"/>
    <x v="0"/>
    <x v="3"/>
    <x v="0"/>
    <n v="17913.602358845863"/>
    <x v="1"/>
    <x v="4"/>
  </r>
  <r>
    <x v="29"/>
    <x v="1"/>
    <d v="1962-06-24T00:00:00"/>
    <d v="1990-03-29T00:00:00"/>
    <s v="Niv.3"/>
    <x v="0"/>
    <x v="4"/>
    <x v="1"/>
    <x v="0"/>
    <x v="3"/>
    <x v="0"/>
    <x v="0"/>
    <x v="0"/>
    <x v="1"/>
    <n v="1"/>
    <x v="0"/>
    <x v="1"/>
    <x v="0"/>
    <n v="0"/>
    <n v="10960"/>
    <n v="15337.539787358197"/>
    <n v="100"/>
    <n v="0"/>
    <x v="1"/>
    <x v="1"/>
    <n v="0"/>
    <x v="1"/>
    <n v="58"/>
    <n v="30"/>
    <x v="0"/>
    <x v="3"/>
    <x v="3"/>
    <n v="7970.7744944180031"/>
    <x v="1"/>
    <x v="4"/>
  </r>
  <r>
    <x v="30"/>
    <x v="0"/>
    <d v="1960-01-15T00:00:00"/>
    <d v="1991-04-30T00:00:00"/>
    <s v="Niv.7"/>
    <x v="3"/>
    <x v="0"/>
    <x v="1"/>
    <x v="2"/>
    <x v="1"/>
    <x v="5"/>
    <x v="0"/>
    <x v="0"/>
    <x v="1"/>
    <n v="1"/>
    <x v="0"/>
    <x v="4"/>
    <x v="1"/>
    <n v="0"/>
    <n v="14800"/>
    <n v="25043.769958438315"/>
    <n v="100"/>
    <n v="1"/>
    <x v="0"/>
    <x v="1"/>
    <n v="0"/>
    <x v="1"/>
    <n v="60"/>
    <n v="29"/>
    <x v="0"/>
    <x v="3"/>
    <x v="1"/>
    <n v="15437.539787358197"/>
    <x v="1"/>
    <x v="4"/>
  </r>
  <r>
    <x v="31"/>
    <x v="1"/>
    <d v="1968-08-13T00:00:00"/>
    <d v="1991-06-12T00:00:00"/>
    <s v="Niv.3"/>
    <x v="0"/>
    <x v="1"/>
    <x v="1"/>
    <x v="0"/>
    <x v="3"/>
    <x v="0"/>
    <x v="0"/>
    <x v="0"/>
    <x v="0"/>
    <n v="0.8"/>
    <x v="1"/>
    <x v="5"/>
    <x v="0"/>
    <n v="0"/>
    <n v="30760"/>
    <n v="22400.245119768166"/>
    <n v="250"/>
    <n v="0"/>
    <x v="0"/>
    <x v="1"/>
    <n v="0"/>
    <x v="1"/>
    <n v="52"/>
    <n v="29"/>
    <x v="0"/>
    <x v="3"/>
    <x v="2"/>
    <n v="30302.523950125978"/>
    <x v="1"/>
    <x v="4"/>
  </r>
  <r>
    <x v="23"/>
    <x v="0"/>
    <d v="1960-03-16T00:00:00"/>
    <d v="1992-05-24T00:00:00"/>
    <s v="Niv.3"/>
    <x v="0"/>
    <x v="2"/>
    <x v="1"/>
    <x v="0"/>
    <x v="3"/>
    <x v="0"/>
    <x v="0"/>
    <x v="0"/>
    <x v="0"/>
    <n v="0.8"/>
    <x v="1"/>
    <x v="5"/>
    <x v="0"/>
    <n v="0"/>
    <n v="20320"/>
    <n v="33280.696126502342"/>
    <n v="500"/>
    <n v="0"/>
    <x v="1"/>
    <x v="1"/>
    <n v="0"/>
    <x v="1"/>
    <n v="60"/>
    <n v="28"/>
    <x v="0"/>
    <x v="0"/>
    <x v="0"/>
    <n v="27380.2941437218"/>
    <x v="1"/>
    <x v="4"/>
  </r>
  <r>
    <x v="32"/>
    <x v="0"/>
    <d v="1961-12-11T00:00:00"/>
    <d v="1992-08-26T00:00:00"/>
    <s v="Niv.6"/>
    <x v="1"/>
    <x v="3"/>
    <x v="0"/>
    <x v="1"/>
    <x v="2"/>
    <x v="7"/>
    <x v="0"/>
    <x v="0"/>
    <x v="1"/>
    <n v="1"/>
    <x v="1"/>
    <x v="2"/>
    <x v="0"/>
    <n v="14"/>
    <n v="30760"/>
    <n v="24337.593439781922"/>
    <n v="250"/>
    <n v="0"/>
    <x v="0"/>
    <x v="0"/>
    <n v="0"/>
    <x v="1"/>
    <n v="58"/>
    <n v="28"/>
    <x v="0"/>
    <x v="0"/>
    <x v="2"/>
    <n v="33530.696126502342"/>
    <x v="0"/>
    <x v="4"/>
  </r>
  <r>
    <x v="33"/>
    <x v="1"/>
    <d v="1959-09-10T00:00:00"/>
    <d v="1992-12-15T00:00:00"/>
    <s v="Niv.7"/>
    <x v="1"/>
    <x v="1"/>
    <x v="0"/>
    <x v="0"/>
    <x v="3"/>
    <x v="4"/>
    <x v="0"/>
    <x v="0"/>
    <x v="1"/>
    <n v="1"/>
    <x v="1"/>
    <x v="3"/>
    <x v="1"/>
    <n v="14"/>
    <n v="22000"/>
    <n v="19430.668181131787"/>
    <n v="250"/>
    <n v="1"/>
    <x v="0"/>
    <x v="1"/>
    <n v="0"/>
    <x v="1"/>
    <n v="60"/>
    <n v="27"/>
    <x v="0"/>
    <x v="0"/>
    <x v="0"/>
    <n v="24587.593439781922"/>
    <x v="0"/>
    <x v="4"/>
  </r>
  <r>
    <x v="34"/>
    <x v="1"/>
    <d v="1968-03-09T00:00:00"/>
    <d v="1993-03-13T00:00:00"/>
    <s v="Niv.3"/>
    <x v="3"/>
    <x v="2"/>
    <x v="0"/>
    <x v="0"/>
    <x v="3"/>
    <x v="0"/>
    <x v="0"/>
    <x v="0"/>
    <x v="0"/>
    <n v="0.5"/>
    <x v="1"/>
    <x v="1"/>
    <x v="0"/>
    <n v="0"/>
    <n v="17200"/>
    <n v="65239.797824614652"/>
    <n v="250"/>
    <n v="0"/>
    <x v="1"/>
    <x v="1"/>
    <n v="0"/>
    <x v="1"/>
    <n v="52"/>
    <n v="27"/>
    <x v="0"/>
    <x v="0"/>
    <x v="4"/>
    <n v="29396.002271697682"/>
    <x v="0"/>
    <x v="4"/>
  </r>
  <r>
    <x v="35"/>
    <x v="0"/>
    <d v="1972-06-15T00:00:00"/>
    <d v="1993-07-24T00:00:00"/>
    <s v="Niv.3"/>
    <x v="3"/>
    <x v="4"/>
    <x v="0"/>
    <x v="0"/>
    <x v="3"/>
    <x v="0"/>
    <x v="0"/>
    <x v="1"/>
    <x v="1"/>
    <n v="1"/>
    <x v="1"/>
    <x v="1"/>
    <x v="0"/>
    <n v="0"/>
    <n v="61000"/>
    <n v="16355.195562830715"/>
    <n v="250"/>
    <n v="0"/>
    <x v="1"/>
    <x v="1"/>
    <n v="0"/>
    <x v="1"/>
    <n v="48"/>
    <n v="27"/>
    <x v="1"/>
    <x v="0"/>
    <x v="2"/>
    <n v="65489.797824614652"/>
    <x v="0"/>
    <x v="4"/>
  </r>
  <r>
    <x v="36"/>
    <x v="0"/>
    <d v="1973-11-01T00:00:00"/>
    <d v="1993-08-03T00:00:00"/>
    <s v="Niv.6"/>
    <x v="3"/>
    <x v="4"/>
    <x v="0"/>
    <x v="1"/>
    <x v="2"/>
    <x v="7"/>
    <x v="0"/>
    <x v="0"/>
    <x v="0"/>
    <n v="0.8"/>
    <x v="1"/>
    <x v="2"/>
    <x v="1"/>
    <n v="21"/>
    <n v="19120"/>
    <n v="28553.368070922246"/>
    <n v="250"/>
    <n v="1"/>
    <x v="0"/>
    <x v="1"/>
    <n v="0"/>
    <x v="1"/>
    <n v="46"/>
    <n v="27"/>
    <x v="1"/>
    <x v="0"/>
    <x v="4"/>
    <n v="19876.234675396856"/>
    <x v="0"/>
    <x v="4"/>
  </r>
  <r>
    <x v="37"/>
    <x v="0"/>
    <d v="1967-11-10T00:00:00"/>
    <d v="1994-04-04T00:00:00"/>
    <s v="Niv.3"/>
    <x v="3"/>
    <x v="4"/>
    <x v="0"/>
    <x v="0"/>
    <x v="3"/>
    <x v="0"/>
    <x v="0"/>
    <x v="2"/>
    <x v="0"/>
    <n v="0.8"/>
    <x v="1"/>
    <x v="5"/>
    <x v="0"/>
    <n v="0"/>
    <n v="34360"/>
    <n v="44152.783778367717"/>
    <n v="250"/>
    <n v="0"/>
    <x v="1"/>
    <x v="1"/>
    <n v="0"/>
    <x v="1"/>
    <n v="52"/>
    <n v="26"/>
    <x v="0"/>
    <x v="0"/>
    <x v="2"/>
    <n v="34514.041685106691"/>
    <x v="0"/>
    <x v="4"/>
  </r>
  <r>
    <x v="38"/>
    <x v="1"/>
    <d v="1967-04-11T00:00:00"/>
    <d v="1994-05-18T00:00:00"/>
    <s v="Niv.3"/>
    <x v="3"/>
    <x v="3"/>
    <x v="0"/>
    <x v="0"/>
    <x v="0"/>
    <x v="0"/>
    <x v="0"/>
    <x v="0"/>
    <x v="0"/>
    <n v="0.8"/>
    <x v="0"/>
    <x v="2"/>
    <x v="0"/>
    <n v="7"/>
    <n v="51280"/>
    <n v="19841.042579528996"/>
    <n v="100"/>
    <n v="0"/>
    <x v="0"/>
    <x v="0"/>
    <n v="0"/>
    <x v="1"/>
    <n v="53"/>
    <n v="26"/>
    <x v="0"/>
    <x v="0"/>
    <x v="2"/>
    <n v="53083.340534041257"/>
    <x v="0"/>
    <x v="4"/>
  </r>
  <r>
    <x v="22"/>
    <x v="0"/>
    <d v="1975-04-02T00:00:00"/>
    <d v="1994-12-26T00:00:00"/>
    <s v="Niv.3"/>
    <x v="3"/>
    <x v="0"/>
    <x v="0"/>
    <x v="0"/>
    <x v="0"/>
    <x v="0"/>
    <x v="0"/>
    <x v="0"/>
    <x v="0"/>
    <n v="0.5"/>
    <x v="0"/>
    <x v="2"/>
    <x v="0"/>
    <n v="7"/>
    <n v="24280"/>
    <n v="8959.0759426308414"/>
    <n v="250"/>
    <n v="0"/>
    <x v="0"/>
    <x v="0"/>
    <n v="0"/>
    <x v="1"/>
    <n v="45"/>
    <n v="25"/>
    <x v="1"/>
    <x v="0"/>
    <x v="2"/>
    <n v="30011.563869293495"/>
    <x v="0"/>
    <x v="4"/>
  </r>
  <r>
    <x v="39"/>
    <x v="0"/>
    <d v="1967-05-14T00:00:00"/>
    <d v="1995-03-30T00:00:00"/>
    <s v="Niv.6"/>
    <x v="3"/>
    <x v="1"/>
    <x v="0"/>
    <x v="1"/>
    <x v="2"/>
    <x v="7"/>
    <x v="0"/>
    <x v="0"/>
    <x v="1"/>
    <n v="1"/>
    <x v="0"/>
    <x v="3"/>
    <x v="1"/>
    <n v="14"/>
    <n v="10960"/>
    <n v="37366.457711833384"/>
    <n v="250"/>
    <n v="1"/>
    <x v="0"/>
    <x v="1"/>
    <n v="0"/>
    <x v="1"/>
    <n v="53"/>
    <n v="25"/>
    <x v="0"/>
    <x v="0"/>
    <x v="3"/>
    <n v="9209.0759426308414"/>
    <x v="0"/>
    <x v="4"/>
  </r>
  <r>
    <x v="40"/>
    <x v="0"/>
    <d v="1977-01-15T00:00:00"/>
    <d v="1995-05-05T00:00:00"/>
    <s v="Niv.7"/>
    <x v="3"/>
    <x v="2"/>
    <x v="0"/>
    <x v="1"/>
    <x v="2"/>
    <x v="6"/>
    <x v="0"/>
    <x v="1"/>
    <x v="0"/>
    <n v="0.8"/>
    <x v="1"/>
    <x v="1"/>
    <x v="1"/>
    <n v="7"/>
    <n v="41800"/>
    <n v="18301.102004723507"/>
    <n v="250"/>
    <n v="1"/>
    <x v="1"/>
    <x v="0"/>
    <n v="0"/>
    <x v="1"/>
    <n v="43"/>
    <n v="25"/>
    <x v="1"/>
    <x v="0"/>
    <x v="2"/>
    <n v="45089.749254200062"/>
    <x v="0"/>
    <x v="4"/>
  </r>
  <r>
    <x v="41"/>
    <x v="1"/>
    <d v="1976-03-25T00:00:00"/>
    <d v="1995-05-15T00:00:00"/>
    <s v="Niv.3"/>
    <x v="3"/>
    <x v="3"/>
    <x v="0"/>
    <x v="0"/>
    <x v="0"/>
    <x v="0"/>
    <x v="0"/>
    <x v="0"/>
    <x v="1"/>
    <n v="1"/>
    <x v="1"/>
    <x v="2"/>
    <x v="0"/>
    <n v="7"/>
    <n v="18400"/>
    <n v="16403.52478845045"/>
    <n v="250"/>
    <n v="0"/>
    <x v="0"/>
    <x v="1"/>
    <n v="1"/>
    <x v="1"/>
    <n v="44"/>
    <n v="25"/>
    <x v="1"/>
    <x v="0"/>
    <x v="4"/>
    <n v="18551.102004723507"/>
    <x v="0"/>
    <x v="4"/>
  </r>
  <r>
    <x v="42"/>
    <x v="0"/>
    <d v="1973-05-12T00:00:00"/>
    <d v="1995-06-09T00:00:00"/>
    <s v="Niv.3"/>
    <x v="3"/>
    <x v="4"/>
    <x v="1"/>
    <x v="0"/>
    <x v="0"/>
    <x v="0"/>
    <x v="0"/>
    <x v="1"/>
    <x v="1"/>
    <n v="1"/>
    <x v="0"/>
    <x v="2"/>
    <x v="0"/>
    <n v="7"/>
    <n v="20320"/>
    <n v="25490.715815212352"/>
    <n v="500"/>
    <n v="0"/>
    <x v="0"/>
    <x v="0"/>
    <n v="1"/>
    <x v="1"/>
    <n v="47"/>
    <n v="25"/>
    <x v="1"/>
    <x v="0"/>
    <x v="0"/>
    <n v="16903.52478845045"/>
    <x v="1"/>
    <x v="4"/>
  </r>
  <r>
    <x v="43"/>
    <x v="0"/>
    <d v="1961-09-03T00:00:00"/>
    <d v="1995-10-06T00:00:00"/>
    <s v="Niv.3"/>
    <x v="3"/>
    <x v="4"/>
    <x v="0"/>
    <x v="0"/>
    <x v="0"/>
    <x v="0"/>
    <x v="0"/>
    <x v="0"/>
    <x v="1"/>
    <n v="1"/>
    <x v="1"/>
    <x v="3"/>
    <x v="1"/>
    <n v="7"/>
    <n v="21760"/>
    <n v="19351.693647972817"/>
    <n v="250"/>
    <n v="1"/>
    <x v="0"/>
    <x v="0"/>
    <n v="0"/>
    <x v="1"/>
    <n v="58"/>
    <n v="24"/>
    <x v="0"/>
    <x v="0"/>
    <x v="0"/>
    <n v="25740.715815212352"/>
    <x v="0"/>
    <x v="4"/>
  </r>
  <r>
    <x v="44"/>
    <x v="0"/>
    <d v="1965-09-15T00:00:00"/>
    <d v="1995-12-25T00:00:00"/>
    <s v="Niv.4"/>
    <x v="1"/>
    <x v="4"/>
    <x v="0"/>
    <x v="0"/>
    <x v="0"/>
    <x v="3"/>
    <x v="0"/>
    <x v="0"/>
    <x v="1"/>
    <n v="1"/>
    <x v="0"/>
    <x v="3"/>
    <x v="1"/>
    <n v="28"/>
    <n v="24280"/>
    <n v="40705.97371992001"/>
    <n v="250"/>
    <n v="1"/>
    <x v="0"/>
    <x v="0"/>
    <n v="0"/>
    <x v="1"/>
    <n v="54"/>
    <n v="24"/>
    <x v="0"/>
    <x v="0"/>
    <x v="2"/>
    <n v="19601.693647972817"/>
    <x v="0"/>
    <x v="4"/>
  </r>
  <r>
    <x v="45"/>
    <x v="0"/>
    <d v="1980-02-14T00:00:00"/>
    <d v="1996-09-03T00:00:00"/>
    <s v="Niv.7"/>
    <x v="1"/>
    <x v="0"/>
    <x v="0"/>
    <x v="0"/>
    <x v="0"/>
    <x v="4"/>
    <x v="0"/>
    <x v="0"/>
    <x v="1"/>
    <n v="1"/>
    <x v="0"/>
    <x v="3"/>
    <x v="1"/>
    <n v="14"/>
    <n v="36400"/>
    <n v="21482.696396953514"/>
    <n v="250"/>
    <n v="1"/>
    <x v="0"/>
    <x v="1"/>
    <n v="0"/>
    <x v="1"/>
    <n v="40"/>
    <n v="23"/>
    <x v="1"/>
    <x v="4"/>
    <x v="2"/>
    <n v="40955.97371992001"/>
    <x v="0"/>
    <x v="4"/>
  </r>
  <r>
    <x v="46"/>
    <x v="0"/>
    <d v="1978-01-05T00:00:00"/>
    <d v="1996-09-25T00:00:00"/>
    <s v="Niv.3"/>
    <x v="0"/>
    <x v="1"/>
    <x v="0"/>
    <x v="0"/>
    <x v="0"/>
    <x v="0"/>
    <x v="0"/>
    <x v="0"/>
    <x v="1"/>
    <n v="1"/>
    <x v="0"/>
    <x v="1"/>
    <x v="0"/>
    <n v="7"/>
    <n v="19600"/>
    <n v="55231.13249129249"/>
    <n v="500"/>
    <n v="0"/>
    <x v="1"/>
    <x v="1"/>
    <n v="0"/>
    <x v="1"/>
    <n v="42"/>
    <n v="23"/>
    <x v="1"/>
    <x v="4"/>
    <x v="4"/>
    <n v="21982.696396953514"/>
    <x v="0"/>
    <x v="4"/>
  </r>
  <r>
    <x v="47"/>
    <x v="0"/>
    <d v="1981-08-02T00:00:00"/>
    <d v="1996-12-24T00:00:00"/>
    <s v="Niv.3"/>
    <x v="0"/>
    <x v="2"/>
    <x v="2"/>
    <x v="0"/>
    <x v="3"/>
    <x v="0"/>
    <x v="0"/>
    <x v="0"/>
    <x v="1"/>
    <n v="1"/>
    <x v="0"/>
    <x v="1"/>
    <x v="1"/>
    <n v="0"/>
    <n v="49840"/>
    <n v="28565.104428200088"/>
    <n v="500"/>
    <n v="1"/>
    <x v="1"/>
    <x v="1"/>
    <n v="0"/>
    <x v="1"/>
    <n v="39"/>
    <n v="23"/>
    <x v="1"/>
    <x v="4"/>
    <x v="2"/>
    <n v="55731.13249129249"/>
    <x v="2"/>
    <x v="4"/>
  </r>
  <r>
    <x v="48"/>
    <x v="1"/>
    <d v="1975-12-31T00:00:00"/>
    <d v="1997-04-19T00:00:00"/>
    <s v="Niv.3"/>
    <x v="0"/>
    <x v="3"/>
    <x v="0"/>
    <x v="0"/>
    <x v="3"/>
    <x v="0"/>
    <x v="0"/>
    <x v="0"/>
    <x v="0"/>
    <n v="0.8"/>
    <x v="1"/>
    <x v="5"/>
    <x v="0"/>
    <n v="0"/>
    <n v="25000"/>
    <n v="22153.990747239281"/>
    <n v="250"/>
    <n v="0"/>
    <x v="0"/>
    <x v="1"/>
    <n v="0"/>
    <x v="1"/>
    <n v="44"/>
    <n v="23"/>
    <x v="1"/>
    <x v="4"/>
    <x v="2"/>
    <n v="34528.125313840101"/>
    <x v="0"/>
    <x v="4"/>
  </r>
  <r>
    <x v="49"/>
    <x v="0"/>
    <d v="1964-11-17T00:00:00"/>
    <d v="1997-08-12T00:00:00"/>
    <s v="Niv.3"/>
    <x v="0"/>
    <x v="4"/>
    <x v="0"/>
    <x v="0"/>
    <x v="3"/>
    <x v="0"/>
    <x v="0"/>
    <x v="0"/>
    <x v="0"/>
    <n v="0.8"/>
    <x v="1"/>
    <x v="5"/>
    <x v="0"/>
    <n v="0"/>
    <n v="22720"/>
    <n v="29615.722811342021"/>
    <n v="250"/>
    <n v="0"/>
    <x v="1"/>
    <x v="1"/>
    <n v="0"/>
    <x v="1"/>
    <n v="55"/>
    <n v="23"/>
    <x v="0"/>
    <x v="4"/>
    <x v="0"/>
    <n v="26834.788896687136"/>
    <x v="0"/>
    <x v="4"/>
  </r>
  <r>
    <x v="50"/>
    <x v="1"/>
    <d v="1979-01-23T00:00:00"/>
    <d v="1997-12-07T00:00:00"/>
    <s v="Niv.7"/>
    <x v="1"/>
    <x v="4"/>
    <x v="0"/>
    <x v="1"/>
    <x v="2"/>
    <x v="10"/>
    <x v="0"/>
    <x v="0"/>
    <x v="1"/>
    <n v="1"/>
    <x v="1"/>
    <x v="2"/>
    <x v="0"/>
    <n v="14"/>
    <n v="34720"/>
    <n v="63297.413159511823"/>
    <n v="250"/>
    <n v="0"/>
    <x v="0"/>
    <x v="0"/>
    <n v="0"/>
    <x v="1"/>
    <n v="41"/>
    <n v="22"/>
    <x v="1"/>
    <x v="4"/>
    <x v="2"/>
    <n v="29865.722811342021"/>
    <x v="0"/>
    <x v="4"/>
  </r>
  <r>
    <x v="51"/>
    <x v="0"/>
    <d v="1961-11-24T00:00:00"/>
    <d v="1997-12-30T00:00:00"/>
    <s v="Niv.5"/>
    <x v="1"/>
    <x v="0"/>
    <x v="0"/>
    <x v="0"/>
    <x v="3"/>
    <x v="11"/>
    <x v="0"/>
    <x v="0"/>
    <x v="0"/>
    <n v="0.8"/>
    <x v="1"/>
    <x v="2"/>
    <x v="0"/>
    <n v="14"/>
    <n v="61000"/>
    <n v="34396.47936039092"/>
    <n v="250"/>
    <n v="0"/>
    <x v="0"/>
    <x v="1"/>
    <n v="0"/>
    <x v="1"/>
    <n v="58"/>
    <n v="22"/>
    <x v="0"/>
    <x v="4"/>
    <x v="2"/>
    <n v="76206.895791414179"/>
    <x v="0"/>
    <x v="4"/>
  </r>
  <r>
    <x v="52"/>
    <x v="0"/>
    <d v="1979-09-15T00:00:00"/>
    <d v="1998-02-04T00:00:00"/>
    <s v="Niv.3"/>
    <x v="0"/>
    <x v="4"/>
    <x v="1"/>
    <x v="0"/>
    <x v="3"/>
    <x v="0"/>
    <x v="0"/>
    <x v="0"/>
    <x v="0"/>
    <n v="0.5"/>
    <x v="1"/>
    <x v="1"/>
    <x v="0"/>
    <n v="0"/>
    <n v="28600"/>
    <n v="31455.664534208503"/>
    <n v="250"/>
    <n v="0"/>
    <x v="1"/>
    <x v="1"/>
    <n v="0"/>
    <x v="1"/>
    <n v="40"/>
    <n v="22"/>
    <x v="1"/>
    <x v="4"/>
    <x v="2"/>
    <n v="51844.71904058638"/>
    <x v="1"/>
    <x v="4"/>
  </r>
  <r>
    <x v="53"/>
    <x v="0"/>
    <d v="1977-10-27T00:00:00"/>
    <d v="1998-03-08T00:00:00"/>
    <s v="Niv.3"/>
    <x v="0"/>
    <x v="1"/>
    <x v="2"/>
    <x v="0"/>
    <x v="3"/>
    <x v="0"/>
    <x v="0"/>
    <x v="1"/>
    <x v="1"/>
    <n v="1"/>
    <x v="1"/>
    <x v="1"/>
    <x v="0"/>
    <n v="0"/>
    <n v="37840"/>
    <n v="25871.461468719062"/>
    <n v="100"/>
    <n v="0"/>
    <x v="1"/>
    <x v="1"/>
    <n v="0"/>
    <x v="1"/>
    <n v="42"/>
    <n v="22"/>
    <x v="1"/>
    <x v="4"/>
    <x v="2"/>
    <n v="31555.664534208503"/>
    <x v="2"/>
    <x v="4"/>
  </r>
  <r>
    <x v="54"/>
    <x v="0"/>
    <d v="1983-03-09T00:00:00"/>
    <d v="1998-03-11T00:00:00"/>
    <s v="Niv.6"/>
    <x v="1"/>
    <x v="2"/>
    <x v="1"/>
    <x v="1"/>
    <x v="2"/>
    <x v="7"/>
    <x v="0"/>
    <x v="0"/>
    <x v="0"/>
    <n v="0.8"/>
    <x v="1"/>
    <x v="2"/>
    <x v="1"/>
    <n v="21"/>
    <n v="23440"/>
    <n v="35783.501524842031"/>
    <n v="250"/>
    <n v="1"/>
    <x v="0"/>
    <x v="1"/>
    <n v="0"/>
    <x v="1"/>
    <n v="37"/>
    <n v="22"/>
    <x v="2"/>
    <x v="4"/>
    <x v="2"/>
    <n v="31295.753762462875"/>
    <x v="1"/>
    <x v="4"/>
  </r>
  <r>
    <x v="55"/>
    <x v="1"/>
    <d v="1959-09-13T00:00:00"/>
    <d v="1998-04-13T00:00:00"/>
    <s v="Niv.3"/>
    <x v="0"/>
    <x v="3"/>
    <x v="2"/>
    <x v="0"/>
    <x v="3"/>
    <x v="0"/>
    <x v="0"/>
    <x v="2"/>
    <x v="0"/>
    <n v="0.8"/>
    <x v="1"/>
    <x v="5"/>
    <x v="0"/>
    <n v="0"/>
    <n v="37240"/>
    <n v="47150.209801328267"/>
    <n v="100"/>
    <n v="0"/>
    <x v="1"/>
    <x v="1"/>
    <n v="0"/>
    <x v="1"/>
    <n v="60"/>
    <n v="22"/>
    <x v="0"/>
    <x v="4"/>
    <x v="2"/>
    <n v="43040.201829810438"/>
    <x v="2"/>
    <x v="4"/>
  </r>
  <r>
    <x v="56"/>
    <x v="0"/>
    <d v="1969-07-16T00:00:00"/>
    <d v="1998-05-11T00:00:00"/>
    <s v="Niv.3"/>
    <x v="0"/>
    <x v="4"/>
    <x v="0"/>
    <x v="0"/>
    <x v="0"/>
    <x v="0"/>
    <x v="0"/>
    <x v="0"/>
    <x v="0"/>
    <n v="0.8"/>
    <x v="0"/>
    <x v="0"/>
    <x v="1"/>
    <n v="7"/>
    <n v="43000"/>
    <n v="58284.15753012606"/>
    <n v="250"/>
    <n v="1"/>
    <x v="0"/>
    <x v="0"/>
    <n v="0"/>
    <x v="1"/>
    <n v="51"/>
    <n v="22"/>
    <x v="0"/>
    <x v="4"/>
    <x v="2"/>
    <n v="56830.251761593921"/>
    <x v="0"/>
    <x v="4"/>
  </r>
  <r>
    <x v="57"/>
    <x v="0"/>
    <d v="1970-01-14T00:00:00"/>
    <d v="1998-06-15T00:00:00"/>
    <s v="Niv.3"/>
    <x v="0"/>
    <x v="4"/>
    <x v="0"/>
    <x v="0"/>
    <x v="0"/>
    <x v="0"/>
    <x v="0"/>
    <x v="0"/>
    <x v="0"/>
    <n v="0.5"/>
    <x v="0"/>
    <x v="2"/>
    <x v="0"/>
    <n v="7"/>
    <n v="57400"/>
    <n v="22153.990747239281"/>
    <n v="250"/>
    <n v="0"/>
    <x v="0"/>
    <x v="0"/>
    <n v="0"/>
    <x v="1"/>
    <n v="50"/>
    <n v="22"/>
    <x v="0"/>
    <x v="4"/>
    <x v="2"/>
    <n v="87676.236295189097"/>
    <x v="0"/>
    <x v="4"/>
  </r>
  <r>
    <x v="58"/>
    <x v="1"/>
    <d v="1973-05-06T00:00:00"/>
    <d v="1998-08-13T00:00:00"/>
    <s v="Niv.6"/>
    <x v="1"/>
    <x v="0"/>
    <x v="2"/>
    <x v="1"/>
    <x v="2"/>
    <x v="12"/>
    <x v="0"/>
    <x v="0"/>
    <x v="0"/>
    <n v="0.8"/>
    <x v="0"/>
    <x v="0"/>
    <x v="1"/>
    <n v="14"/>
    <n v="22720"/>
    <n v="35783.501524842031"/>
    <n v="250"/>
    <n v="1"/>
    <x v="0"/>
    <x v="1"/>
    <n v="0"/>
    <x v="1"/>
    <n v="47"/>
    <n v="22"/>
    <x v="1"/>
    <x v="4"/>
    <x v="0"/>
    <n v="26834.788896687136"/>
    <x v="2"/>
    <x v="4"/>
  </r>
  <r>
    <x v="59"/>
    <x v="1"/>
    <d v="1983-06-02T00:00:00"/>
    <d v="1998-12-07T00:00:00"/>
    <s v="Niv.3"/>
    <x v="0"/>
    <x v="0"/>
    <x v="0"/>
    <x v="0"/>
    <x v="0"/>
    <x v="0"/>
    <x v="0"/>
    <x v="0"/>
    <x v="0"/>
    <n v="0.8"/>
    <x v="1"/>
    <x v="5"/>
    <x v="0"/>
    <n v="0"/>
    <n v="37240"/>
    <n v="47150.209801328267"/>
    <n v="100"/>
    <n v="0"/>
    <x v="1"/>
    <x v="1"/>
    <n v="0"/>
    <x v="1"/>
    <n v="37"/>
    <n v="21"/>
    <x v="2"/>
    <x v="4"/>
    <x v="2"/>
    <n v="43040.201829810438"/>
    <x v="0"/>
    <x v="4"/>
  </r>
  <r>
    <x v="60"/>
    <x v="0"/>
    <d v="1976-05-28T00:00:00"/>
    <d v="1999-01-04T00:00:00"/>
    <s v="Niv.7"/>
    <x v="1"/>
    <x v="1"/>
    <x v="0"/>
    <x v="1"/>
    <x v="2"/>
    <x v="1"/>
    <x v="0"/>
    <x v="0"/>
    <x v="0"/>
    <n v="0.8"/>
    <x v="0"/>
    <x v="0"/>
    <x v="1"/>
    <n v="7"/>
    <n v="43000"/>
    <n v="58284.15753012606"/>
    <n v="250"/>
    <n v="1"/>
    <x v="0"/>
    <x v="0"/>
    <n v="0"/>
    <x v="1"/>
    <n v="44"/>
    <n v="21"/>
    <x v="1"/>
    <x v="4"/>
    <x v="2"/>
    <n v="56830.251761593921"/>
    <x v="0"/>
    <x v="4"/>
  </r>
  <r>
    <x v="61"/>
    <x v="0"/>
    <d v="1980-12-06T00:00:00"/>
    <d v="1999-03-02T00:00:00"/>
    <s v="Niv.6"/>
    <x v="1"/>
    <x v="2"/>
    <x v="0"/>
    <x v="1"/>
    <x v="2"/>
    <x v="2"/>
    <x v="0"/>
    <x v="1"/>
    <x v="0"/>
    <n v="0.5"/>
    <x v="0"/>
    <x v="2"/>
    <x v="0"/>
    <n v="7"/>
    <n v="57400"/>
    <n v="22153.990747239281"/>
    <n v="250"/>
    <n v="0"/>
    <x v="0"/>
    <x v="0"/>
    <n v="0"/>
    <x v="1"/>
    <n v="39"/>
    <n v="21"/>
    <x v="1"/>
    <x v="4"/>
    <x v="2"/>
    <n v="87676.236295189097"/>
    <x v="0"/>
    <x v="4"/>
  </r>
  <r>
    <x v="62"/>
    <x v="1"/>
    <d v="1967-11-24T00:00:00"/>
    <d v="1999-06-25T00:00:00"/>
    <s v="Niv.3"/>
    <x v="0"/>
    <x v="3"/>
    <x v="0"/>
    <x v="0"/>
    <x v="0"/>
    <x v="0"/>
    <x v="0"/>
    <x v="0"/>
    <x v="1"/>
    <n v="0.8"/>
    <x v="0"/>
    <x v="0"/>
    <x v="1"/>
    <n v="14"/>
    <n v="22720"/>
    <n v="35783.501524842031"/>
    <n v="250"/>
    <n v="1"/>
    <x v="0"/>
    <x v="1"/>
    <n v="0"/>
    <x v="1"/>
    <n v="52"/>
    <n v="21"/>
    <x v="0"/>
    <x v="4"/>
    <x v="0"/>
    <n v="26834.788896687136"/>
    <x v="0"/>
    <x v="4"/>
  </r>
  <r>
    <x v="63"/>
    <x v="1"/>
    <d v="1983-05-25T00:00:00"/>
    <d v="1999-07-08T00:00:00"/>
    <s v="Niv.3"/>
    <x v="0"/>
    <x v="1"/>
    <x v="0"/>
    <x v="0"/>
    <x v="0"/>
    <x v="0"/>
    <x v="0"/>
    <x v="1"/>
    <x v="1"/>
    <n v="0.8"/>
    <x v="1"/>
    <x v="5"/>
    <x v="0"/>
    <n v="0"/>
    <n v="37240"/>
    <n v="47150.209801328267"/>
    <n v="100"/>
    <n v="0"/>
    <x v="1"/>
    <x v="1"/>
    <n v="0"/>
    <x v="1"/>
    <n v="37"/>
    <n v="21"/>
    <x v="2"/>
    <x v="4"/>
    <x v="2"/>
    <n v="43040.201829810438"/>
    <x v="0"/>
    <x v="4"/>
  </r>
  <r>
    <x v="64"/>
    <x v="1"/>
    <d v="1982-07-15T00:00:00"/>
    <d v="1999-09-09T00:00:00"/>
    <s v="Niv.3"/>
    <x v="0"/>
    <x v="2"/>
    <x v="0"/>
    <x v="0"/>
    <x v="0"/>
    <x v="0"/>
    <x v="0"/>
    <x v="0"/>
    <x v="1"/>
    <n v="0.8"/>
    <x v="0"/>
    <x v="0"/>
    <x v="1"/>
    <n v="7"/>
    <n v="43000"/>
    <n v="58284.15753012606"/>
    <n v="250"/>
    <n v="1"/>
    <x v="0"/>
    <x v="0"/>
    <n v="0"/>
    <x v="1"/>
    <n v="38"/>
    <n v="20"/>
    <x v="2"/>
    <x v="4"/>
    <x v="2"/>
    <n v="56830.251761593921"/>
    <x v="0"/>
    <x v="4"/>
  </r>
  <r>
    <x v="65"/>
    <x v="0"/>
    <d v="1965-07-25T00:00:00"/>
    <d v="1999-11-22T00:00:00"/>
    <s v="Niv.4"/>
    <x v="1"/>
    <x v="4"/>
    <x v="0"/>
    <x v="0"/>
    <x v="0"/>
    <x v="3"/>
    <x v="0"/>
    <x v="0"/>
    <x v="1"/>
    <n v="0.5"/>
    <x v="0"/>
    <x v="2"/>
    <x v="0"/>
    <n v="7"/>
    <n v="57400"/>
    <n v="22153.990747239281"/>
    <n v="250"/>
    <n v="0"/>
    <x v="0"/>
    <x v="0"/>
    <n v="0"/>
    <x v="1"/>
    <n v="55"/>
    <n v="20"/>
    <x v="0"/>
    <x v="4"/>
    <x v="2"/>
    <n v="87676.236295189097"/>
    <x v="0"/>
    <x v="4"/>
  </r>
  <r>
    <x v="66"/>
    <x v="0"/>
    <d v="1969-06-05T00:00:00"/>
    <d v="2000-01-11T00:00:00"/>
    <s v="Niv.7"/>
    <x v="0"/>
    <x v="4"/>
    <x v="0"/>
    <x v="0"/>
    <x v="0"/>
    <x v="4"/>
    <x v="0"/>
    <x v="0"/>
    <x v="1"/>
    <n v="0.8"/>
    <x v="0"/>
    <x v="0"/>
    <x v="1"/>
    <n v="14"/>
    <n v="22720"/>
    <n v="35783.501524842031"/>
    <n v="250"/>
    <n v="1"/>
    <x v="0"/>
    <x v="1"/>
    <n v="0"/>
    <x v="1"/>
    <n v="51"/>
    <n v="20"/>
    <x v="0"/>
    <x v="4"/>
    <x v="0"/>
    <n v="26834.788896687136"/>
    <x v="0"/>
    <x v="4"/>
  </r>
  <r>
    <x v="67"/>
    <x v="0"/>
    <d v="1964-07-06T00:00:00"/>
    <d v="2000-03-01T00:00:00"/>
    <s v="Niv.3"/>
    <x v="0"/>
    <x v="4"/>
    <x v="0"/>
    <x v="0"/>
    <x v="0"/>
    <x v="0"/>
    <x v="0"/>
    <x v="0"/>
    <x v="1"/>
    <n v="0.8"/>
    <x v="1"/>
    <x v="5"/>
    <x v="0"/>
    <n v="0"/>
    <n v="37240"/>
    <n v="47150.209801328267"/>
    <n v="100"/>
    <n v="0"/>
    <x v="1"/>
    <x v="1"/>
    <n v="0"/>
    <x v="1"/>
    <n v="56"/>
    <n v="20"/>
    <x v="0"/>
    <x v="4"/>
    <x v="2"/>
    <n v="43040.201829810438"/>
    <x v="0"/>
    <x v="4"/>
  </r>
  <r>
    <x v="68"/>
    <x v="0"/>
    <d v="1973-12-04T00:00:00"/>
    <d v="2000-06-22T00:00:00"/>
    <s v="Niv.3"/>
    <x v="0"/>
    <x v="3"/>
    <x v="0"/>
    <x v="0"/>
    <x v="3"/>
    <x v="0"/>
    <x v="0"/>
    <x v="0"/>
    <x v="1"/>
    <n v="0.8"/>
    <x v="0"/>
    <x v="0"/>
    <x v="1"/>
    <n v="7"/>
    <n v="43000"/>
    <n v="58284.15753012606"/>
    <n v="250"/>
    <n v="1"/>
    <x v="0"/>
    <x v="0"/>
    <n v="0"/>
    <x v="2"/>
    <n v="46"/>
    <n v="20"/>
    <x v="1"/>
    <x v="4"/>
    <x v="2"/>
    <n v="56830.251761593921"/>
    <x v="0"/>
    <x v="4"/>
  </r>
  <r>
    <x v="69"/>
    <x v="0"/>
    <d v="1974-06-07T00:00:00"/>
    <d v="2000-10-02T00:00:00"/>
    <s v="Niv.7"/>
    <x v="0"/>
    <x v="0"/>
    <x v="1"/>
    <x v="2"/>
    <x v="4"/>
    <x v="5"/>
    <x v="0"/>
    <x v="0"/>
    <x v="1"/>
    <n v="0.5"/>
    <x v="0"/>
    <x v="2"/>
    <x v="0"/>
    <n v="7"/>
    <n v="57400"/>
    <n v="22153.990747239281"/>
    <n v="250"/>
    <n v="0"/>
    <x v="0"/>
    <x v="0"/>
    <n v="0"/>
    <x v="2"/>
    <n v="46"/>
    <n v="19"/>
    <x v="1"/>
    <x v="4"/>
    <x v="2"/>
    <n v="87676.236295189097"/>
    <x v="1"/>
    <x v="4"/>
  </r>
  <r>
    <x v="70"/>
    <x v="1"/>
    <d v="1965-09-13T00:00:00"/>
    <d v="2000-10-29T00:00:00"/>
    <s v="Niv.3"/>
    <x v="1"/>
    <x v="1"/>
    <x v="0"/>
    <x v="0"/>
    <x v="3"/>
    <x v="0"/>
    <x v="0"/>
    <x v="0"/>
    <x v="0"/>
    <n v="0.8"/>
    <x v="0"/>
    <x v="0"/>
    <x v="1"/>
    <n v="14"/>
    <n v="22720"/>
    <n v="15301.473660819251"/>
    <n v="250"/>
    <n v="1"/>
    <x v="0"/>
    <x v="1"/>
    <n v="0"/>
    <x v="2"/>
    <n v="54"/>
    <n v="19"/>
    <x v="0"/>
    <x v="4"/>
    <x v="0"/>
    <n v="26834.788896687136"/>
    <x v="0"/>
    <x v="4"/>
  </r>
  <r>
    <x v="71"/>
    <x v="0"/>
    <d v="1973-09-17T00:00:00"/>
    <d v="2000-10-31T00:00:00"/>
    <s v="Niv.3"/>
    <x v="1"/>
    <x v="2"/>
    <x v="0"/>
    <x v="0"/>
    <x v="3"/>
    <x v="0"/>
    <x v="0"/>
    <x v="0"/>
    <x v="0"/>
    <n v="0.8"/>
    <x v="0"/>
    <x v="0"/>
    <x v="0"/>
    <n v="14"/>
    <n v="20320"/>
    <n v="12191.418489269836"/>
    <n v="250"/>
    <n v="0"/>
    <x v="0"/>
    <x v="1"/>
    <n v="0"/>
    <x v="2"/>
    <n v="46"/>
    <n v="19"/>
    <x v="1"/>
    <x v="4"/>
    <x v="0"/>
    <n v="18611.7683929831"/>
    <x v="0"/>
    <x v="4"/>
  </r>
  <r>
    <x v="72"/>
    <x v="0"/>
    <d v="1985-10-03T00:00:00"/>
    <d v="2001-03-11T00:00:00"/>
    <s v="Niv.7"/>
    <x v="0"/>
    <x v="3"/>
    <x v="0"/>
    <x v="1"/>
    <x v="2"/>
    <x v="6"/>
    <x v="0"/>
    <x v="0"/>
    <x v="1"/>
    <n v="0.8"/>
    <x v="1"/>
    <x v="1"/>
    <x v="0"/>
    <n v="7"/>
    <n v="14320"/>
    <n v="21896.184838227273"/>
    <n v="250"/>
    <n v="1"/>
    <x v="1"/>
    <x v="0"/>
    <n v="0"/>
    <x v="2"/>
    <n v="34"/>
    <n v="19"/>
    <x v="2"/>
    <x v="4"/>
    <x v="1"/>
    <n v="14879.702187123803"/>
    <x v="0"/>
    <x v="4"/>
  </r>
  <r>
    <x v="73"/>
    <x v="1"/>
    <d v="1970-03-26T00:00:00"/>
    <d v="2001-05-16T00:00:00"/>
    <s v="Niv.7"/>
    <x v="0"/>
    <x v="4"/>
    <x v="0"/>
    <x v="0"/>
    <x v="3"/>
    <x v="4"/>
    <x v="0"/>
    <x v="0"/>
    <x v="1"/>
    <n v="1"/>
    <x v="1"/>
    <x v="2"/>
    <x v="0"/>
    <n v="7"/>
    <n v="25000"/>
    <n v="44066.416583509075"/>
    <n v="250"/>
    <n v="0"/>
    <x v="0"/>
    <x v="1"/>
    <n v="0"/>
    <x v="2"/>
    <n v="50"/>
    <n v="19"/>
    <x v="0"/>
    <x v="4"/>
    <x v="2"/>
    <n v="22146.184838227273"/>
    <x v="0"/>
    <x v="4"/>
  </r>
  <r>
    <x v="74"/>
    <x v="1"/>
    <d v="1968-12-13T00:00:00"/>
    <d v="2001-07-27T00:00:00"/>
    <s v="Niv.3"/>
    <x v="1"/>
    <x v="4"/>
    <x v="1"/>
    <x v="0"/>
    <x v="3"/>
    <x v="0"/>
    <x v="0"/>
    <x v="0"/>
    <x v="0"/>
    <n v="1"/>
    <x v="0"/>
    <x v="2"/>
    <x v="1"/>
    <n v="7"/>
    <n v="47920"/>
    <n v="35335.765235019375"/>
    <n v="100"/>
    <n v="0"/>
    <x v="0"/>
    <x v="0"/>
    <n v="0"/>
    <x v="2"/>
    <n v="51"/>
    <n v="19"/>
    <x v="0"/>
    <x v="4"/>
    <x v="2"/>
    <n v="44166.416583509075"/>
    <x v="1"/>
    <x v="4"/>
  </r>
  <r>
    <x v="75"/>
    <x v="0"/>
    <d v="1967-06-03T00:00:00"/>
    <d v="2001-08-05T00:00:00"/>
    <s v="Niv.3"/>
    <x v="0"/>
    <x v="4"/>
    <x v="0"/>
    <x v="0"/>
    <x v="3"/>
    <x v="0"/>
    <x v="0"/>
    <x v="1"/>
    <x v="0"/>
    <n v="1"/>
    <x v="1"/>
    <x v="3"/>
    <x v="1"/>
    <n v="7"/>
    <n v="35080"/>
    <n v="35866.948722056019"/>
    <n v="250"/>
    <n v="1"/>
    <x v="0"/>
    <x v="0"/>
    <n v="0"/>
    <x v="2"/>
    <n v="53"/>
    <n v="19"/>
    <x v="0"/>
    <x v="4"/>
    <x v="2"/>
    <n v="35585.765235019375"/>
    <x v="0"/>
    <x v="4"/>
  </r>
  <r>
    <x v="76"/>
    <x v="1"/>
    <d v="1971-10-31T00:00:00"/>
    <d v="2001-08-08T00:00:00"/>
    <s v="Niv.6"/>
    <x v="0"/>
    <x v="0"/>
    <x v="0"/>
    <x v="1"/>
    <x v="2"/>
    <x v="7"/>
    <x v="0"/>
    <x v="0"/>
    <x v="0"/>
    <n v="1"/>
    <x v="0"/>
    <x v="0"/>
    <x v="1"/>
    <n v="28"/>
    <n v="32920"/>
    <n v="18078.426723453955"/>
    <n v="250"/>
    <n v="1"/>
    <x v="0"/>
    <x v="0"/>
    <n v="0"/>
    <x v="2"/>
    <n v="48"/>
    <n v="19"/>
    <x v="1"/>
    <x v="4"/>
    <x v="2"/>
    <n v="36116.948722056019"/>
    <x v="0"/>
    <x v="4"/>
  </r>
  <r>
    <x v="77"/>
    <x v="1"/>
    <d v="1959-11-28T00:00:00"/>
    <d v="2001-11-28T00:00:00"/>
    <s v="Niv.3"/>
    <x v="2"/>
    <x v="1"/>
    <x v="0"/>
    <x v="0"/>
    <x v="3"/>
    <x v="0"/>
    <x v="0"/>
    <x v="2"/>
    <x v="0"/>
    <n v="1"/>
    <x v="0"/>
    <x v="3"/>
    <x v="1"/>
    <n v="14"/>
    <n v="14320"/>
    <n v="46671.203665014938"/>
    <n v="250"/>
    <n v="1"/>
    <x v="0"/>
    <x v="1"/>
    <n v="0"/>
    <x v="2"/>
    <n v="60"/>
    <n v="18"/>
    <x v="0"/>
    <x v="5"/>
    <x v="1"/>
    <n v="18328.426723453955"/>
    <x v="0"/>
    <x v="4"/>
  </r>
  <r>
    <x v="78"/>
    <x v="1"/>
    <d v="1979-08-07T00:00:00"/>
    <d v="2002-03-04T00:00:00"/>
    <s v="Niv.3"/>
    <x v="1"/>
    <x v="2"/>
    <x v="0"/>
    <x v="0"/>
    <x v="0"/>
    <x v="0"/>
    <x v="0"/>
    <x v="0"/>
    <x v="0"/>
    <n v="1"/>
    <x v="0"/>
    <x v="1"/>
    <x v="0"/>
    <n v="7"/>
    <n v="46600"/>
    <n v="61257.913039472201"/>
    <n v="500"/>
    <n v="0"/>
    <x v="1"/>
    <x v="1"/>
    <n v="0"/>
    <x v="2"/>
    <n v="41"/>
    <n v="18"/>
    <x v="1"/>
    <x v="5"/>
    <x v="2"/>
    <n v="47171.203665014938"/>
    <x v="0"/>
    <x v="4"/>
  </r>
  <r>
    <x v="79"/>
    <x v="1"/>
    <d v="1961-10-14T00:00:00"/>
    <d v="2002-03-21T00:00:00"/>
    <s v="Niv.3"/>
    <x v="0"/>
    <x v="3"/>
    <x v="1"/>
    <x v="0"/>
    <x v="0"/>
    <x v="0"/>
    <x v="0"/>
    <x v="0"/>
    <x v="0"/>
    <n v="1"/>
    <x v="0"/>
    <x v="1"/>
    <x v="1"/>
    <n v="0"/>
    <n v="53800"/>
    <n v="14966.646053739798"/>
    <n v="250"/>
    <n v="1"/>
    <x v="1"/>
    <x v="1"/>
    <n v="0"/>
    <x v="2"/>
    <n v="58"/>
    <n v="18"/>
    <x v="0"/>
    <x v="5"/>
    <x v="2"/>
    <n v="61507.913039472201"/>
    <x v="1"/>
    <x v="4"/>
  </r>
  <r>
    <x v="80"/>
    <x v="1"/>
    <d v="1960-03-09T00:00:00"/>
    <d v="2002-06-24T00:00:00"/>
    <s v="Niv.6"/>
    <x v="1"/>
    <x v="4"/>
    <x v="2"/>
    <x v="1"/>
    <x v="2"/>
    <x v="8"/>
    <x v="0"/>
    <x v="0"/>
    <x v="0"/>
    <n v="1"/>
    <x v="0"/>
    <x v="4"/>
    <x v="1"/>
    <n v="0"/>
    <n v="12400"/>
    <n v="60375.927003436787"/>
    <n v="250"/>
    <n v="1"/>
    <x v="0"/>
    <x v="1"/>
    <n v="0"/>
    <x v="2"/>
    <n v="60"/>
    <n v="18"/>
    <x v="0"/>
    <x v="5"/>
    <x v="3"/>
    <n v="15216.646053739798"/>
    <x v="2"/>
    <x v="4"/>
  </r>
  <r>
    <x v="81"/>
    <x v="0"/>
    <d v="1987-08-19T00:00:00"/>
    <d v="2002-09-18T00:00:00"/>
    <s v="Niv.5"/>
    <x v="1"/>
    <x v="4"/>
    <x v="1"/>
    <x v="1"/>
    <x v="2"/>
    <x v="9"/>
    <x v="0"/>
    <x v="1"/>
    <x v="0"/>
    <n v="0.8"/>
    <x v="1"/>
    <x v="2"/>
    <x v="0"/>
    <n v="0"/>
    <n v="63400"/>
    <n v="31074.922590084563"/>
    <n v="250"/>
    <n v="0"/>
    <x v="0"/>
    <x v="1"/>
    <n v="0"/>
    <x v="2"/>
    <n v="33"/>
    <n v="17"/>
    <x v="2"/>
    <x v="5"/>
    <x v="2"/>
    <n v="72701.112404124142"/>
    <x v="1"/>
    <x v="4"/>
  </r>
  <r>
    <x v="82"/>
    <x v="1"/>
    <d v="1986-02-08T00:00:00"/>
    <d v="2002-10-24T00:00:00"/>
    <s v="Niv.3"/>
    <x v="0"/>
    <x v="0"/>
    <x v="2"/>
    <x v="0"/>
    <x v="0"/>
    <x v="0"/>
    <x v="0"/>
    <x v="0"/>
    <x v="1"/>
    <n v="0.8"/>
    <x v="1"/>
    <x v="2"/>
    <x v="0"/>
    <n v="0"/>
    <n v="37240"/>
    <n v="30421.485326617185"/>
    <n v="500"/>
    <n v="0"/>
    <x v="1"/>
    <x v="1"/>
    <n v="0"/>
    <x v="2"/>
    <n v="34"/>
    <n v="17"/>
    <x v="2"/>
    <x v="5"/>
    <x v="2"/>
    <n v="37789.907108101477"/>
    <x v="2"/>
    <x v="4"/>
  </r>
  <r>
    <x v="83"/>
    <x v="1"/>
    <d v="1985-12-06T00:00:00"/>
    <d v="2002-12-10T00:00:00"/>
    <s v="Niv.3"/>
    <x v="0"/>
    <x v="4"/>
    <x v="0"/>
    <x v="0"/>
    <x v="0"/>
    <x v="0"/>
    <x v="0"/>
    <x v="1"/>
    <x v="1"/>
    <n v="1"/>
    <x v="1"/>
    <x v="3"/>
    <x v="1"/>
    <n v="14"/>
    <n v="31840"/>
    <n v="12623.752744412501"/>
    <n v="250"/>
    <n v="1"/>
    <x v="0"/>
    <x v="0"/>
    <n v="0"/>
    <x v="2"/>
    <n v="34"/>
    <n v="17"/>
    <x v="2"/>
    <x v="5"/>
    <x v="2"/>
    <n v="30671.485326617185"/>
    <x v="0"/>
    <x v="4"/>
  </r>
  <r>
    <x v="84"/>
    <x v="1"/>
    <d v="1983-07-12T00:00:00"/>
    <d v="2002-12-21T00:00:00"/>
    <s v="Niv.3"/>
    <x v="0"/>
    <x v="1"/>
    <x v="0"/>
    <x v="0"/>
    <x v="0"/>
    <x v="0"/>
    <x v="0"/>
    <x v="0"/>
    <x v="1"/>
    <n v="1"/>
    <x v="1"/>
    <x v="3"/>
    <x v="1"/>
    <n v="14"/>
    <n v="10720"/>
    <n v="31945.148853956838"/>
    <n v="250"/>
    <n v="1"/>
    <x v="0"/>
    <x v="1"/>
    <n v="0"/>
    <x v="2"/>
    <n v="37"/>
    <n v="17"/>
    <x v="2"/>
    <x v="5"/>
    <x v="3"/>
    <n v="12873.752744412501"/>
    <x v="0"/>
    <x v="4"/>
  </r>
  <r>
    <x v="85"/>
    <x v="1"/>
    <d v="1984-07-17T00:00:00"/>
    <d v="2002-12-30T00:00:00"/>
    <s v="Niv.4"/>
    <x v="1"/>
    <x v="2"/>
    <x v="2"/>
    <x v="0"/>
    <x v="0"/>
    <x v="3"/>
    <x v="0"/>
    <x v="0"/>
    <x v="1"/>
    <n v="0.5"/>
    <x v="1"/>
    <x v="1"/>
    <x v="0"/>
    <n v="0"/>
    <n v="26800"/>
    <n v="16119.789856479762"/>
    <n v="250"/>
    <n v="0"/>
    <x v="1"/>
    <x v="1"/>
    <n v="0"/>
    <x v="2"/>
    <n v="36"/>
    <n v="17"/>
    <x v="2"/>
    <x v="5"/>
    <x v="2"/>
    <n v="48167.723280935257"/>
    <x v="2"/>
    <x v="4"/>
  </r>
  <r>
    <x v="86"/>
    <x v="0"/>
    <d v="1987-06-03T00:00:00"/>
    <d v="2003-01-11T00:00:00"/>
    <s v="Niv.7"/>
    <x v="0"/>
    <x v="3"/>
    <x v="2"/>
    <x v="0"/>
    <x v="0"/>
    <x v="4"/>
    <x v="0"/>
    <x v="0"/>
    <x v="1"/>
    <n v="0.8"/>
    <x v="1"/>
    <x v="1"/>
    <x v="0"/>
    <n v="0"/>
    <n v="16000"/>
    <n v="46799.381113835698"/>
    <n v="250"/>
    <n v="0"/>
    <x v="1"/>
    <x v="1"/>
    <n v="0"/>
    <x v="2"/>
    <n v="33"/>
    <n v="17"/>
    <x v="2"/>
    <x v="5"/>
    <x v="1"/>
    <n v="19593.747827775715"/>
    <x v="2"/>
    <x v="4"/>
  </r>
  <r>
    <x v="87"/>
    <x v="0"/>
    <d v="1963-02-18T00:00:00"/>
    <d v="2003-03-13T00:00:00"/>
    <s v="Niv.3"/>
    <x v="0"/>
    <x v="4"/>
    <x v="1"/>
    <x v="0"/>
    <x v="0"/>
    <x v="0"/>
    <x v="0"/>
    <x v="0"/>
    <x v="1"/>
    <n v="0.8"/>
    <x v="1"/>
    <x v="3"/>
    <x v="1"/>
    <n v="21"/>
    <n v="47200"/>
    <n v="46969.329868438814"/>
    <n v="250"/>
    <n v="1"/>
    <x v="0"/>
    <x v="1"/>
    <n v="0"/>
    <x v="2"/>
    <n v="57"/>
    <n v="17"/>
    <x v="0"/>
    <x v="5"/>
    <x v="2"/>
    <n v="56409.257336602837"/>
    <x v="1"/>
    <x v="4"/>
  </r>
  <r>
    <x v="88"/>
    <x v="0"/>
    <d v="1961-05-02T00:00:00"/>
    <d v="2003-04-14T00:00:00"/>
    <s v="Niv.3"/>
    <x v="0"/>
    <x v="4"/>
    <x v="1"/>
    <x v="0"/>
    <x v="3"/>
    <x v="0"/>
    <x v="0"/>
    <x v="0"/>
    <x v="1"/>
    <n v="0.8"/>
    <x v="1"/>
    <x v="5"/>
    <x v="0"/>
    <n v="0"/>
    <n v="40000"/>
    <n v="30976.765468004931"/>
    <n v="250"/>
    <n v="0"/>
    <x v="1"/>
    <x v="1"/>
    <n v="0"/>
    <x v="2"/>
    <n v="59"/>
    <n v="17"/>
    <x v="0"/>
    <x v="5"/>
    <x v="2"/>
    <n v="56613.195842126574"/>
    <x v="1"/>
    <x v="4"/>
  </r>
  <r>
    <x v="89"/>
    <x v="1"/>
    <d v="1982-05-26T00:00:00"/>
    <d v="2003-04-20T00:00:00"/>
    <s v="Niv.7"/>
    <x v="0"/>
    <x v="0"/>
    <x v="1"/>
    <x v="2"/>
    <x v="1"/>
    <x v="5"/>
    <x v="0"/>
    <x v="0"/>
    <x v="1"/>
    <n v="0.8"/>
    <x v="0"/>
    <x v="0"/>
    <x v="1"/>
    <n v="7"/>
    <n v="36880"/>
    <n v="52605.998578252838"/>
    <n v="250"/>
    <n v="1"/>
    <x v="0"/>
    <x v="0"/>
    <n v="0"/>
    <x v="2"/>
    <n v="38"/>
    <n v="17"/>
    <x v="2"/>
    <x v="5"/>
    <x v="2"/>
    <n v="37422.118561605916"/>
    <x v="1"/>
    <x v="4"/>
  </r>
  <r>
    <x v="90"/>
    <x v="0"/>
    <d v="1958-07-28T00:00:00"/>
    <d v="2003-05-04T00:00:00"/>
    <s v="Niv.3"/>
    <x v="1"/>
    <x v="1"/>
    <x v="1"/>
    <x v="0"/>
    <x v="3"/>
    <x v="0"/>
    <x v="0"/>
    <x v="0"/>
    <x v="0"/>
    <n v="0.5"/>
    <x v="0"/>
    <x v="2"/>
    <x v="0"/>
    <n v="7"/>
    <n v="64000"/>
    <n v="46333.881914424732"/>
    <n v="250"/>
    <n v="0"/>
    <x v="0"/>
    <x v="0"/>
    <n v="0"/>
    <x v="2"/>
    <n v="62"/>
    <n v="17"/>
    <x v="0"/>
    <x v="5"/>
    <x v="2"/>
    <n v="79158.99786737925"/>
    <x v="1"/>
    <x v="4"/>
  </r>
  <r>
    <x v="91"/>
    <x v="0"/>
    <d v="1982-07-24T00:00:00"/>
    <d v="2003-06-18T00:00:00"/>
    <s v="Niv.3"/>
    <x v="1"/>
    <x v="2"/>
    <x v="1"/>
    <x v="0"/>
    <x v="3"/>
    <x v="0"/>
    <x v="0"/>
    <x v="0"/>
    <x v="0"/>
    <n v="0.8"/>
    <x v="0"/>
    <x v="3"/>
    <x v="1"/>
    <n v="14"/>
    <n v="47920"/>
    <n v="17727.997319887167"/>
    <n v="500"/>
    <n v="1"/>
    <x v="0"/>
    <x v="1"/>
    <n v="1"/>
    <x v="2"/>
    <n v="38"/>
    <n v="17"/>
    <x v="2"/>
    <x v="5"/>
    <x v="2"/>
    <n v="56100.658297309674"/>
    <x v="1"/>
    <x v="4"/>
  </r>
  <r>
    <x v="92"/>
    <x v="1"/>
    <d v="1976-11-03T00:00:00"/>
    <d v="2003-08-06T00:00:00"/>
    <s v="Niv.3"/>
    <x v="0"/>
    <x v="3"/>
    <x v="0"/>
    <x v="1"/>
    <x v="2"/>
    <x v="7"/>
    <x v="0"/>
    <x v="0"/>
    <x v="1"/>
    <n v="0.8"/>
    <x v="1"/>
    <x v="1"/>
    <x v="0"/>
    <n v="7"/>
    <n v="17200"/>
    <n v="41924.283295994217"/>
    <n v="250"/>
    <n v="0"/>
    <x v="1"/>
    <x v="0"/>
    <n v="1"/>
    <x v="2"/>
    <n v="43"/>
    <n v="17"/>
    <x v="1"/>
    <x v="5"/>
    <x v="4"/>
    <n v="21523.596783864599"/>
    <x v="0"/>
    <x v="4"/>
  </r>
  <r>
    <x v="93"/>
    <x v="0"/>
    <d v="1962-02-09T00:00:00"/>
    <d v="2003-09-25T00:00:00"/>
    <s v="Niv.7"/>
    <x v="0"/>
    <x v="1"/>
    <x v="0"/>
    <x v="0"/>
    <x v="3"/>
    <x v="4"/>
    <x v="0"/>
    <x v="0"/>
    <x v="1"/>
    <n v="1"/>
    <x v="1"/>
    <x v="2"/>
    <x v="0"/>
    <n v="7"/>
    <n v="37360"/>
    <n v="26156.023906499271"/>
    <n v="500"/>
    <n v="0"/>
    <x v="0"/>
    <x v="1"/>
    <n v="1"/>
    <x v="2"/>
    <n v="58"/>
    <n v="16"/>
    <x v="0"/>
    <x v="5"/>
    <x v="2"/>
    <n v="42424.283295994217"/>
    <x v="0"/>
    <x v="4"/>
  </r>
  <r>
    <x v="94"/>
    <x v="0"/>
    <d v="1969-09-20T00:00:00"/>
    <d v="2003-11-06T00:00:00"/>
    <s v="Niv.6"/>
    <x v="1"/>
    <x v="2"/>
    <x v="0"/>
    <x v="0"/>
    <x v="3"/>
    <x v="0"/>
    <x v="0"/>
    <x v="0"/>
    <x v="0"/>
    <n v="1"/>
    <x v="0"/>
    <x v="0"/>
    <x v="1"/>
    <n v="7"/>
    <n v="25720"/>
    <n v="9589.3240835680372"/>
    <n v="250"/>
    <n v="1"/>
    <x v="0"/>
    <x v="0"/>
    <n v="0"/>
    <x v="2"/>
    <n v="50"/>
    <n v="16"/>
    <x v="0"/>
    <x v="5"/>
    <x v="2"/>
    <n v="26406.023906499271"/>
    <x v="0"/>
    <x v="4"/>
  </r>
  <r>
    <x v="95"/>
    <x v="1"/>
    <d v="1978-05-16T00:00:00"/>
    <d v="2003-12-09T00:00:00"/>
    <s v="Niv.3"/>
    <x v="0"/>
    <x v="4"/>
    <x v="0"/>
    <x v="0"/>
    <x v="3"/>
    <x v="0"/>
    <x v="0"/>
    <x v="1"/>
    <x v="1"/>
    <n v="1"/>
    <x v="1"/>
    <x v="3"/>
    <x v="1"/>
    <n v="7"/>
    <n v="11200"/>
    <n v="16901.70308779904"/>
    <n v="250"/>
    <n v="1"/>
    <x v="0"/>
    <x v="0"/>
    <n v="0"/>
    <x v="2"/>
    <n v="42"/>
    <n v="16"/>
    <x v="1"/>
    <x v="5"/>
    <x v="3"/>
    <n v="9839.3240835680372"/>
    <x v="0"/>
    <x v="4"/>
  </r>
  <r>
    <x v="96"/>
    <x v="1"/>
    <d v="1970-09-28T00:00:00"/>
    <d v="2004-01-15T00:00:00"/>
    <s v="Niv.3"/>
    <x v="0"/>
    <x v="4"/>
    <x v="0"/>
    <x v="1"/>
    <x v="2"/>
    <x v="7"/>
    <x v="0"/>
    <x v="0"/>
    <x v="0"/>
    <n v="1"/>
    <x v="0"/>
    <x v="0"/>
    <x v="1"/>
    <n v="28"/>
    <n v="16720"/>
    <n v="39335.705749000866"/>
    <n v="250"/>
    <n v="1"/>
    <x v="0"/>
    <x v="0"/>
    <n v="0"/>
    <x v="2"/>
    <n v="49"/>
    <n v="16"/>
    <x v="0"/>
    <x v="5"/>
    <x v="1"/>
    <n v="17151.70308779904"/>
    <x v="0"/>
    <x v="4"/>
  </r>
  <r>
    <x v="97"/>
    <x v="0"/>
    <d v="1972-11-30T00:00:00"/>
    <d v="2004-02-20T00:00:00"/>
    <s v="Niv.3"/>
    <x v="0"/>
    <x v="4"/>
    <x v="0"/>
    <x v="0"/>
    <x v="3"/>
    <x v="0"/>
    <x v="0"/>
    <x v="2"/>
    <x v="0"/>
    <n v="1"/>
    <x v="0"/>
    <x v="3"/>
    <x v="1"/>
    <n v="14"/>
    <n v="35440"/>
    <n v="17663.602358845863"/>
    <n v="250"/>
    <n v="1"/>
    <x v="0"/>
    <x v="1"/>
    <n v="0"/>
    <x v="2"/>
    <n v="47"/>
    <n v="16"/>
    <x v="1"/>
    <x v="5"/>
    <x v="2"/>
    <n v="39585.705749000866"/>
    <x v="0"/>
    <x v="4"/>
  </r>
  <r>
    <x v="98"/>
    <x v="1"/>
    <d v="1976-04-08T00:00:00"/>
    <d v="2004-03-13T00:00:00"/>
    <s v="Niv.4"/>
    <x v="1"/>
    <x v="3"/>
    <x v="0"/>
    <x v="0"/>
    <x v="0"/>
    <x v="0"/>
    <x v="0"/>
    <x v="0"/>
    <x v="0"/>
    <n v="1"/>
    <x v="0"/>
    <x v="1"/>
    <x v="0"/>
    <n v="7"/>
    <n v="20080"/>
    <n v="7870.7744944180031"/>
    <n v="250"/>
    <n v="0"/>
    <x v="1"/>
    <x v="1"/>
    <n v="0"/>
    <x v="2"/>
    <n v="44"/>
    <n v="16"/>
    <x v="1"/>
    <x v="5"/>
    <x v="0"/>
    <n v="17913.602358845863"/>
    <x v="0"/>
    <x v="4"/>
  </r>
  <r>
    <x v="99"/>
    <x v="0"/>
    <d v="1984-04-26T00:00:00"/>
    <d v="2004-06-06T00:00:00"/>
    <s v="Niv.7"/>
    <x v="0"/>
    <x v="0"/>
    <x v="0"/>
    <x v="0"/>
    <x v="0"/>
    <x v="0"/>
    <x v="0"/>
    <x v="0"/>
    <x v="0"/>
    <n v="1"/>
    <x v="0"/>
    <x v="1"/>
    <x v="0"/>
    <n v="0"/>
    <n v="10960"/>
    <n v="15337.539787358197"/>
    <n v="100"/>
    <n v="0"/>
    <x v="1"/>
    <x v="1"/>
    <n v="0"/>
    <x v="2"/>
    <n v="36"/>
    <n v="16"/>
    <x v="2"/>
    <x v="5"/>
    <x v="3"/>
    <n v="7970.7744944180031"/>
    <x v="0"/>
    <x v="4"/>
  </r>
  <r>
    <x v="100"/>
    <x v="0"/>
    <d v="1984-09-22T00:00:00"/>
    <d v="2004-07-03T00:00:00"/>
    <s v="Niv.3"/>
    <x v="1"/>
    <x v="1"/>
    <x v="0"/>
    <x v="1"/>
    <x v="2"/>
    <x v="7"/>
    <x v="0"/>
    <x v="0"/>
    <x v="1"/>
    <n v="1"/>
    <x v="0"/>
    <x v="4"/>
    <x v="1"/>
    <n v="0"/>
    <n v="14800"/>
    <n v="25043.769958438315"/>
    <n v="100"/>
    <n v="1"/>
    <x v="0"/>
    <x v="1"/>
    <n v="0"/>
    <x v="2"/>
    <n v="35"/>
    <n v="16"/>
    <x v="2"/>
    <x v="5"/>
    <x v="1"/>
    <n v="15437.539787358197"/>
    <x v="0"/>
    <x v="4"/>
  </r>
  <r>
    <x v="101"/>
    <x v="0"/>
    <d v="1961-02-17T00:00:00"/>
    <d v="2004-07-04T00:00:00"/>
    <s v="Niv.3"/>
    <x v="1"/>
    <x v="2"/>
    <x v="0"/>
    <x v="1"/>
    <x v="2"/>
    <x v="6"/>
    <x v="0"/>
    <x v="1"/>
    <x v="0"/>
    <n v="0.8"/>
    <x v="1"/>
    <x v="5"/>
    <x v="0"/>
    <n v="0"/>
    <n v="30760"/>
    <n v="22400.245119768166"/>
    <n v="250"/>
    <n v="0"/>
    <x v="0"/>
    <x v="1"/>
    <n v="0"/>
    <x v="2"/>
    <n v="59"/>
    <n v="16"/>
    <x v="0"/>
    <x v="5"/>
    <x v="2"/>
    <n v="30302.523950125978"/>
    <x v="0"/>
    <x v="4"/>
  </r>
  <r>
    <x v="102"/>
    <x v="1"/>
    <d v="1982-01-06T00:00:00"/>
    <d v="2004-07-12T00:00:00"/>
    <s v="Niv.7"/>
    <x v="0"/>
    <x v="3"/>
    <x v="0"/>
    <x v="0"/>
    <x v="0"/>
    <x v="0"/>
    <x v="0"/>
    <x v="0"/>
    <x v="1"/>
    <n v="0.8"/>
    <x v="1"/>
    <x v="5"/>
    <x v="0"/>
    <n v="0"/>
    <n v="20320"/>
    <n v="33280.696126502342"/>
    <n v="500"/>
    <n v="0"/>
    <x v="1"/>
    <x v="1"/>
    <n v="0"/>
    <x v="2"/>
    <n v="38"/>
    <n v="16"/>
    <x v="2"/>
    <x v="5"/>
    <x v="0"/>
    <n v="27380.2941437218"/>
    <x v="0"/>
    <x v="4"/>
  </r>
  <r>
    <x v="103"/>
    <x v="1"/>
    <d v="1983-01-06T00:00:00"/>
    <d v="2004-08-30T00:00:00"/>
    <s v="Niv.3"/>
    <x v="0"/>
    <x v="4"/>
    <x v="1"/>
    <x v="0"/>
    <x v="0"/>
    <x v="0"/>
    <x v="0"/>
    <x v="1"/>
    <x v="1"/>
    <n v="1"/>
    <x v="1"/>
    <x v="2"/>
    <x v="0"/>
    <n v="14"/>
    <n v="30760"/>
    <n v="24337.593439781922"/>
    <n v="250"/>
    <n v="0"/>
    <x v="0"/>
    <x v="0"/>
    <n v="0"/>
    <x v="2"/>
    <n v="37"/>
    <n v="16"/>
    <x v="2"/>
    <x v="5"/>
    <x v="2"/>
    <n v="33530.696126502342"/>
    <x v="1"/>
    <x v="4"/>
  </r>
  <r>
    <x v="104"/>
    <x v="1"/>
    <d v="1975-12-05T00:00:00"/>
    <d v="2004-11-26T00:00:00"/>
    <s v="Niv.3"/>
    <x v="0"/>
    <x v="4"/>
    <x v="0"/>
    <x v="0"/>
    <x v="0"/>
    <x v="0"/>
    <x v="0"/>
    <x v="0"/>
    <x v="1"/>
    <n v="1"/>
    <x v="1"/>
    <x v="3"/>
    <x v="1"/>
    <n v="14"/>
    <n v="22000"/>
    <n v="19430.668181131787"/>
    <n v="250"/>
    <n v="1"/>
    <x v="0"/>
    <x v="1"/>
    <n v="0"/>
    <x v="2"/>
    <n v="44"/>
    <n v="15"/>
    <x v="1"/>
    <x v="5"/>
    <x v="0"/>
    <n v="24587.593439781922"/>
    <x v="0"/>
    <x v="4"/>
  </r>
  <r>
    <x v="105"/>
    <x v="1"/>
    <d v="1977-06-05T00:00:00"/>
    <d v="2004-11-30T00:00:00"/>
    <s v="Niv.7"/>
    <x v="1"/>
    <x v="4"/>
    <x v="0"/>
    <x v="0"/>
    <x v="0"/>
    <x v="3"/>
    <x v="0"/>
    <x v="0"/>
    <x v="1"/>
    <n v="0.5"/>
    <x v="1"/>
    <x v="1"/>
    <x v="0"/>
    <n v="0"/>
    <n v="17200"/>
    <n v="65239.797824614652"/>
    <n v="250"/>
    <n v="0"/>
    <x v="1"/>
    <x v="1"/>
    <n v="0"/>
    <x v="2"/>
    <n v="43"/>
    <n v="15"/>
    <x v="1"/>
    <x v="5"/>
    <x v="4"/>
    <n v="29396.002271697682"/>
    <x v="0"/>
    <x v="4"/>
  </r>
  <r>
    <x v="106"/>
    <x v="1"/>
    <d v="1969-04-23T00:00:00"/>
    <d v="2004-12-04T00:00:00"/>
    <s v="Niv.7"/>
    <x v="0"/>
    <x v="0"/>
    <x v="0"/>
    <x v="0"/>
    <x v="0"/>
    <x v="4"/>
    <x v="0"/>
    <x v="0"/>
    <x v="1"/>
    <n v="1"/>
    <x v="1"/>
    <x v="1"/>
    <x v="0"/>
    <n v="0"/>
    <n v="61000"/>
    <n v="16355.195562830715"/>
    <n v="250"/>
    <n v="0"/>
    <x v="1"/>
    <x v="1"/>
    <n v="0"/>
    <x v="3"/>
    <n v="51"/>
    <n v="15"/>
    <x v="0"/>
    <x v="5"/>
    <x v="2"/>
    <n v="65489.797824614652"/>
    <x v="0"/>
    <x v="4"/>
  </r>
  <r>
    <x v="107"/>
    <x v="0"/>
    <d v="1966-02-22T00:00:00"/>
    <d v="2005-01-06T00:00:00"/>
    <s v="Niv.3"/>
    <x v="0"/>
    <x v="1"/>
    <x v="0"/>
    <x v="0"/>
    <x v="0"/>
    <x v="0"/>
    <x v="0"/>
    <x v="0"/>
    <x v="1"/>
    <n v="0.8"/>
    <x v="1"/>
    <x v="2"/>
    <x v="1"/>
    <n v="21"/>
    <n v="19120"/>
    <n v="28553.368070922246"/>
    <n v="250"/>
    <n v="1"/>
    <x v="0"/>
    <x v="1"/>
    <n v="0"/>
    <x v="3"/>
    <n v="54"/>
    <n v="15"/>
    <x v="0"/>
    <x v="5"/>
    <x v="4"/>
    <n v="19876.234675396856"/>
    <x v="0"/>
    <x v="4"/>
  </r>
  <r>
    <x v="108"/>
    <x v="0"/>
    <d v="1957-11-01T00:00:00"/>
    <d v="2005-01-12T00:00:00"/>
    <s v="Niv.3"/>
    <x v="0"/>
    <x v="2"/>
    <x v="2"/>
    <x v="0"/>
    <x v="3"/>
    <x v="0"/>
    <x v="0"/>
    <x v="0"/>
    <x v="1"/>
    <n v="0.8"/>
    <x v="1"/>
    <x v="5"/>
    <x v="0"/>
    <n v="0"/>
    <n v="34360"/>
    <n v="44152.783778367717"/>
    <n v="250"/>
    <n v="0"/>
    <x v="1"/>
    <x v="1"/>
    <n v="0"/>
    <x v="3"/>
    <n v="62"/>
    <n v="15"/>
    <x v="0"/>
    <x v="5"/>
    <x v="2"/>
    <n v="34514.041685106691"/>
    <x v="2"/>
    <x v="4"/>
  </r>
  <r>
    <x v="109"/>
    <x v="0"/>
    <d v="1958-04-05T00:00:00"/>
    <d v="2005-01-29T00:00:00"/>
    <s v="Niv.6"/>
    <x v="0"/>
    <x v="3"/>
    <x v="0"/>
    <x v="0"/>
    <x v="3"/>
    <x v="0"/>
    <x v="0"/>
    <x v="0"/>
    <x v="0"/>
    <n v="0.8"/>
    <x v="0"/>
    <x v="2"/>
    <x v="0"/>
    <n v="7"/>
    <n v="51280"/>
    <n v="19841.042579528996"/>
    <n v="100"/>
    <n v="0"/>
    <x v="0"/>
    <x v="0"/>
    <n v="0"/>
    <x v="3"/>
    <n v="62"/>
    <n v="15"/>
    <x v="0"/>
    <x v="5"/>
    <x v="2"/>
    <n v="53083.340534041257"/>
    <x v="0"/>
    <x v="4"/>
  </r>
  <r>
    <x v="23"/>
    <x v="0"/>
    <d v="1970-02-26T00:00:00"/>
    <d v="2005-02-08T00:00:00"/>
    <s v="Niv.3"/>
    <x v="1"/>
    <x v="4"/>
    <x v="0"/>
    <x v="0"/>
    <x v="3"/>
    <x v="0"/>
    <x v="0"/>
    <x v="0"/>
    <x v="0"/>
    <n v="0.5"/>
    <x v="0"/>
    <x v="2"/>
    <x v="0"/>
    <n v="7"/>
    <n v="24280"/>
    <n v="8959.0759426308414"/>
    <n v="250"/>
    <n v="0"/>
    <x v="0"/>
    <x v="0"/>
    <n v="0"/>
    <x v="3"/>
    <n v="50"/>
    <n v="15"/>
    <x v="0"/>
    <x v="5"/>
    <x v="2"/>
    <n v="30011.563869293495"/>
    <x v="0"/>
    <x v="4"/>
  </r>
  <r>
    <x v="110"/>
    <x v="0"/>
    <d v="1986-07-22T00:00:00"/>
    <d v="2005-03-12T00:00:00"/>
    <s v="Niv.3"/>
    <x v="1"/>
    <x v="4"/>
    <x v="0"/>
    <x v="1"/>
    <x v="2"/>
    <x v="10"/>
    <x v="0"/>
    <x v="0"/>
    <x v="1"/>
    <n v="1"/>
    <x v="0"/>
    <x v="3"/>
    <x v="1"/>
    <n v="14"/>
    <n v="10960"/>
    <n v="37366.457711833384"/>
    <n v="250"/>
    <n v="1"/>
    <x v="0"/>
    <x v="1"/>
    <n v="0"/>
    <x v="3"/>
    <n v="34"/>
    <n v="15"/>
    <x v="2"/>
    <x v="5"/>
    <x v="3"/>
    <n v="9209.0759426308414"/>
    <x v="0"/>
    <x v="4"/>
  </r>
  <r>
    <x v="111"/>
    <x v="0"/>
    <d v="1987-09-11T00:00:00"/>
    <d v="2005-04-07T00:00:00"/>
    <s v="Niv.3"/>
    <x v="0"/>
    <x v="0"/>
    <x v="0"/>
    <x v="0"/>
    <x v="3"/>
    <x v="11"/>
    <x v="0"/>
    <x v="0"/>
    <x v="0"/>
    <n v="0.8"/>
    <x v="1"/>
    <x v="1"/>
    <x v="1"/>
    <n v="7"/>
    <n v="41800"/>
    <n v="18301.102004723507"/>
    <n v="250"/>
    <n v="1"/>
    <x v="1"/>
    <x v="0"/>
    <n v="0"/>
    <x v="3"/>
    <n v="32"/>
    <n v="15"/>
    <x v="2"/>
    <x v="5"/>
    <x v="2"/>
    <n v="45089.749254200062"/>
    <x v="0"/>
    <x v="4"/>
  </r>
  <r>
    <x v="112"/>
    <x v="1"/>
    <d v="1965-10-15T00:00:00"/>
    <d v="2005-04-27T00:00:00"/>
    <s v="Niv.6"/>
    <x v="0"/>
    <x v="4"/>
    <x v="1"/>
    <x v="0"/>
    <x v="3"/>
    <x v="0"/>
    <x v="0"/>
    <x v="0"/>
    <x v="0"/>
    <n v="1"/>
    <x v="1"/>
    <x v="2"/>
    <x v="0"/>
    <n v="7"/>
    <n v="18400"/>
    <n v="16403.52478845045"/>
    <n v="250"/>
    <n v="0"/>
    <x v="0"/>
    <x v="1"/>
    <n v="1"/>
    <x v="3"/>
    <n v="54"/>
    <n v="15"/>
    <x v="0"/>
    <x v="5"/>
    <x v="4"/>
    <n v="18551.102004723507"/>
    <x v="1"/>
    <x v="4"/>
  </r>
  <r>
    <x v="113"/>
    <x v="0"/>
    <d v="1983-08-22T00:00:00"/>
    <d v="2005-07-09T00:00:00"/>
    <s v="Niv.5"/>
    <x v="1"/>
    <x v="1"/>
    <x v="2"/>
    <x v="0"/>
    <x v="3"/>
    <x v="0"/>
    <x v="0"/>
    <x v="1"/>
    <x v="1"/>
    <n v="1"/>
    <x v="0"/>
    <x v="2"/>
    <x v="0"/>
    <n v="7"/>
    <n v="20320"/>
    <n v="25490.715815212352"/>
    <n v="500"/>
    <n v="0"/>
    <x v="0"/>
    <x v="0"/>
    <n v="1"/>
    <x v="3"/>
    <n v="37"/>
    <n v="15"/>
    <x v="2"/>
    <x v="5"/>
    <x v="0"/>
    <n v="16903.52478845045"/>
    <x v="2"/>
    <x v="4"/>
  </r>
  <r>
    <x v="114"/>
    <x v="0"/>
    <d v="1984-03-06T00:00:00"/>
    <d v="2005-08-07T00:00:00"/>
    <s v="Niv.3"/>
    <x v="0"/>
    <x v="2"/>
    <x v="1"/>
    <x v="1"/>
    <x v="2"/>
    <x v="7"/>
    <x v="0"/>
    <x v="0"/>
    <x v="0"/>
    <n v="1"/>
    <x v="1"/>
    <x v="3"/>
    <x v="1"/>
    <n v="7"/>
    <n v="21760"/>
    <n v="19351.693647972817"/>
    <n v="250"/>
    <n v="1"/>
    <x v="0"/>
    <x v="0"/>
    <n v="0"/>
    <x v="3"/>
    <n v="36"/>
    <n v="15"/>
    <x v="2"/>
    <x v="5"/>
    <x v="0"/>
    <n v="25740.715815212352"/>
    <x v="1"/>
    <x v="4"/>
  </r>
  <r>
    <x v="115"/>
    <x v="1"/>
    <d v="1987-12-25T00:00:00"/>
    <d v="2005-09-21T00:00:00"/>
    <s v="Niv.3"/>
    <x v="2"/>
    <x v="3"/>
    <x v="2"/>
    <x v="0"/>
    <x v="3"/>
    <x v="0"/>
    <x v="0"/>
    <x v="2"/>
    <x v="0"/>
    <n v="1"/>
    <x v="0"/>
    <x v="3"/>
    <x v="1"/>
    <n v="28"/>
    <n v="24280"/>
    <n v="40705.97371992001"/>
    <n v="250"/>
    <n v="1"/>
    <x v="0"/>
    <x v="0"/>
    <n v="0"/>
    <x v="3"/>
    <n v="32"/>
    <n v="14"/>
    <x v="2"/>
    <x v="5"/>
    <x v="2"/>
    <n v="19601.693647972817"/>
    <x v="2"/>
    <x v="4"/>
  </r>
  <r>
    <x v="116"/>
    <x v="1"/>
    <d v="1980-11-17T00:00:00"/>
    <d v="2005-11-24T00:00:00"/>
    <s v="Niv.3"/>
    <x v="0"/>
    <x v="4"/>
    <x v="0"/>
    <x v="0"/>
    <x v="0"/>
    <x v="0"/>
    <x v="0"/>
    <x v="0"/>
    <x v="0"/>
    <n v="1"/>
    <x v="0"/>
    <x v="3"/>
    <x v="1"/>
    <n v="14"/>
    <n v="36400"/>
    <n v="21482.696396953514"/>
    <n v="250"/>
    <n v="1"/>
    <x v="0"/>
    <x v="1"/>
    <n v="0"/>
    <x v="3"/>
    <n v="39"/>
    <n v="14"/>
    <x v="1"/>
    <x v="5"/>
    <x v="2"/>
    <n v="40955.97371992001"/>
    <x v="0"/>
    <x v="4"/>
  </r>
  <r>
    <x v="117"/>
    <x v="0"/>
    <d v="1962-11-13T00:00:00"/>
    <d v="2005-11-28T00:00:00"/>
    <s v="Niv.4"/>
    <x v="1"/>
    <x v="4"/>
    <x v="0"/>
    <x v="0"/>
    <x v="0"/>
    <x v="0"/>
    <x v="0"/>
    <x v="0"/>
    <x v="0"/>
    <n v="1"/>
    <x v="0"/>
    <x v="1"/>
    <x v="0"/>
    <n v="7"/>
    <n v="19600"/>
    <n v="55231.13249129249"/>
    <n v="500"/>
    <n v="0"/>
    <x v="1"/>
    <x v="1"/>
    <n v="0"/>
    <x v="3"/>
    <n v="57"/>
    <n v="14"/>
    <x v="0"/>
    <x v="5"/>
    <x v="4"/>
    <n v="21982.696396953514"/>
    <x v="0"/>
    <x v="4"/>
  </r>
  <r>
    <x v="118"/>
    <x v="0"/>
    <d v="1971-05-08T00:00:00"/>
    <d v="2006-01-28T00:00:00"/>
    <s v="Niv.7"/>
    <x v="0"/>
    <x v="0"/>
    <x v="2"/>
    <x v="1"/>
    <x v="2"/>
    <x v="12"/>
    <x v="0"/>
    <x v="0"/>
    <x v="0"/>
    <n v="1"/>
    <x v="0"/>
    <x v="1"/>
    <x v="1"/>
    <n v="0"/>
    <n v="49840"/>
    <n v="28565.104428200088"/>
    <n v="500"/>
    <n v="1"/>
    <x v="1"/>
    <x v="1"/>
    <n v="0"/>
    <x v="3"/>
    <n v="49"/>
    <n v="14"/>
    <x v="0"/>
    <x v="5"/>
    <x v="2"/>
    <n v="55731.13249129249"/>
    <x v="2"/>
    <x v="4"/>
  </r>
  <r>
    <x v="119"/>
    <x v="0"/>
    <d v="1970-02-15T00:00:00"/>
    <d v="2006-04-10T00:00:00"/>
    <s v="Niv.3"/>
    <x v="1"/>
    <x v="0"/>
    <x v="0"/>
    <x v="0"/>
    <x v="0"/>
    <x v="0"/>
    <x v="0"/>
    <x v="0"/>
    <x v="0"/>
    <n v="0.8"/>
    <x v="1"/>
    <x v="5"/>
    <x v="0"/>
    <n v="0"/>
    <n v="25000"/>
    <n v="22153.990747239281"/>
    <n v="250"/>
    <n v="0"/>
    <x v="0"/>
    <x v="1"/>
    <n v="0"/>
    <x v="3"/>
    <n v="50"/>
    <n v="14"/>
    <x v="0"/>
    <x v="5"/>
    <x v="2"/>
    <n v="34528.125313840101"/>
    <x v="0"/>
    <x v="4"/>
  </r>
  <r>
    <x v="120"/>
    <x v="0"/>
    <d v="1963-05-09T00:00:00"/>
    <d v="2006-04-24T00:00:00"/>
    <s v="Niv.3"/>
    <x v="1"/>
    <x v="1"/>
    <x v="0"/>
    <x v="1"/>
    <x v="2"/>
    <x v="1"/>
    <x v="0"/>
    <x v="0"/>
    <x v="0"/>
    <n v="0.8"/>
    <x v="1"/>
    <x v="5"/>
    <x v="0"/>
    <n v="0"/>
    <n v="22720"/>
    <n v="29615.722811342021"/>
    <n v="250"/>
    <n v="0"/>
    <x v="1"/>
    <x v="1"/>
    <n v="0"/>
    <x v="3"/>
    <n v="57"/>
    <n v="14"/>
    <x v="0"/>
    <x v="5"/>
    <x v="0"/>
    <n v="26834.788896687136"/>
    <x v="0"/>
    <x v="4"/>
  </r>
  <r>
    <x v="121"/>
    <x v="0"/>
    <d v="1986-03-01T00:00:00"/>
    <d v="2006-09-20T00:00:00"/>
    <s v="Niv.7"/>
    <x v="2"/>
    <x v="2"/>
    <x v="0"/>
    <x v="1"/>
    <x v="2"/>
    <x v="2"/>
    <x v="0"/>
    <x v="1"/>
    <x v="0"/>
    <n v="1"/>
    <x v="1"/>
    <x v="2"/>
    <x v="0"/>
    <n v="14"/>
    <n v="34720"/>
    <n v="63297.413159511823"/>
    <n v="250"/>
    <n v="0"/>
    <x v="0"/>
    <x v="0"/>
    <n v="0"/>
    <x v="3"/>
    <n v="34"/>
    <n v="13"/>
    <x v="2"/>
    <x v="6"/>
    <x v="2"/>
    <n v="29865.722811342021"/>
    <x v="0"/>
    <x v="4"/>
  </r>
  <r>
    <x v="122"/>
    <x v="0"/>
    <d v="1976-11-23T00:00:00"/>
    <d v="2006-10-30T00:00:00"/>
    <s v="Niv.3"/>
    <x v="2"/>
    <x v="3"/>
    <x v="0"/>
    <x v="0"/>
    <x v="0"/>
    <x v="0"/>
    <x v="0"/>
    <x v="0"/>
    <x v="1"/>
    <n v="0.8"/>
    <x v="1"/>
    <x v="2"/>
    <x v="0"/>
    <n v="14"/>
    <n v="61000"/>
    <n v="34396.47936039092"/>
    <n v="250"/>
    <n v="0"/>
    <x v="0"/>
    <x v="1"/>
    <n v="0"/>
    <x v="3"/>
    <n v="43"/>
    <n v="13"/>
    <x v="1"/>
    <x v="6"/>
    <x v="2"/>
    <n v="76206.895791414179"/>
    <x v="0"/>
    <x v="4"/>
  </r>
  <r>
    <x v="123"/>
    <x v="1"/>
    <d v="1985-10-01T00:00:00"/>
    <d v="2006-11-22T00:00:00"/>
    <s v="Niv.3"/>
    <x v="0"/>
    <x v="1"/>
    <x v="0"/>
    <x v="0"/>
    <x v="0"/>
    <x v="0"/>
    <x v="0"/>
    <x v="1"/>
    <x v="1"/>
    <n v="0.5"/>
    <x v="1"/>
    <x v="1"/>
    <x v="0"/>
    <n v="0"/>
    <n v="28600"/>
    <n v="31455.664534208503"/>
    <n v="250"/>
    <n v="0"/>
    <x v="1"/>
    <x v="1"/>
    <n v="0"/>
    <x v="3"/>
    <n v="34"/>
    <n v="13"/>
    <x v="2"/>
    <x v="6"/>
    <x v="2"/>
    <n v="51844.71904058638"/>
    <x v="0"/>
    <x v="4"/>
  </r>
  <r>
    <x v="124"/>
    <x v="1"/>
    <d v="1975-07-07T00:00:00"/>
    <d v="2007-01-06T00:00:00"/>
    <s v="Niv.6"/>
    <x v="1"/>
    <x v="2"/>
    <x v="0"/>
    <x v="0"/>
    <x v="0"/>
    <x v="0"/>
    <x v="0"/>
    <x v="0"/>
    <x v="1"/>
    <n v="1"/>
    <x v="1"/>
    <x v="1"/>
    <x v="0"/>
    <n v="0"/>
    <n v="37840"/>
    <n v="25871.461468719062"/>
    <n v="100"/>
    <n v="0"/>
    <x v="1"/>
    <x v="1"/>
    <n v="0"/>
    <x v="3"/>
    <n v="45"/>
    <n v="13"/>
    <x v="1"/>
    <x v="6"/>
    <x v="2"/>
    <n v="31555.664534208503"/>
    <x v="0"/>
    <x v="4"/>
  </r>
  <r>
    <x v="125"/>
    <x v="0"/>
    <d v="1978-01-09T00:00:00"/>
    <d v="2007-02-09T00:00:00"/>
    <s v="Niv.7"/>
    <x v="0"/>
    <x v="4"/>
    <x v="0"/>
    <x v="0"/>
    <x v="0"/>
    <x v="3"/>
    <x v="0"/>
    <x v="0"/>
    <x v="1"/>
    <n v="0.8"/>
    <x v="1"/>
    <x v="2"/>
    <x v="1"/>
    <n v="21"/>
    <n v="23440"/>
    <n v="35783.501524842031"/>
    <n v="250"/>
    <n v="1"/>
    <x v="0"/>
    <x v="1"/>
    <n v="0"/>
    <x v="3"/>
    <n v="42"/>
    <n v="13"/>
    <x v="1"/>
    <x v="6"/>
    <x v="2"/>
    <n v="31295.753762462875"/>
    <x v="0"/>
    <x v="4"/>
  </r>
  <r>
    <x v="126"/>
    <x v="0"/>
    <d v="1967-05-19T00:00:00"/>
    <d v="2007-03-05T00:00:00"/>
    <s v="Niv.3"/>
    <x v="0"/>
    <x v="4"/>
    <x v="0"/>
    <x v="0"/>
    <x v="0"/>
    <x v="4"/>
    <x v="0"/>
    <x v="0"/>
    <x v="1"/>
    <n v="0.8"/>
    <x v="1"/>
    <x v="5"/>
    <x v="0"/>
    <n v="0"/>
    <n v="37240"/>
    <n v="47150.209801328267"/>
    <n v="100"/>
    <n v="0"/>
    <x v="1"/>
    <x v="1"/>
    <n v="0"/>
    <x v="3"/>
    <n v="53"/>
    <n v="13"/>
    <x v="0"/>
    <x v="6"/>
    <x v="2"/>
    <n v="43040.201829810438"/>
    <x v="0"/>
    <x v="4"/>
  </r>
  <r>
    <x v="127"/>
    <x v="0"/>
    <d v="1973-07-22T00:00:00"/>
    <d v="2007-04-13T00:00:00"/>
    <s v="Niv.3"/>
    <x v="0"/>
    <x v="4"/>
    <x v="0"/>
    <x v="0"/>
    <x v="0"/>
    <x v="0"/>
    <x v="0"/>
    <x v="0"/>
    <x v="1"/>
    <n v="0.8"/>
    <x v="0"/>
    <x v="0"/>
    <x v="1"/>
    <n v="7"/>
    <n v="43000"/>
    <n v="58284.15753012606"/>
    <n v="250"/>
    <n v="1"/>
    <x v="0"/>
    <x v="0"/>
    <n v="0"/>
    <x v="3"/>
    <n v="47"/>
    <n v="13"/>
    <x v="1"/>
    <x v="6"/>
    <x v="2"/>
    <n v="56830.251761593921"/>
    <x v="0"/>
    <x v="4"/>
  </r>
  <r>
    <x v="77"/>
    <x v="1"/>
    <d v="1979-12-18T00:00:00"/>
    <d v="2007-06-07T00:00:00"/>
    <s v="Niv.6"/>
    <x v="0"/>
    <x v="3"/>
    <x v="0"/>
    <x v="0"/>
    <x v="3"/>
    <x v="0"/>
    <x v="0"/>
    <x v="0"/>
    <x v="1"/>
    <n v="0.5"/>
    <x v="0"/>
    <x v="2"/>
    <x v="0"/>
    <n v="7"/>
    <n v="57400"/>
    <n v="22153.990747239281"/>
    <n v="250"/>
    <n v="0"/>
    <x v="0"/>
    <x v="0"/>
    <n v="0"/>
    <x v="3"/>
    <n v="40"/>
    <n v="13"/>
    <x v="1"/>
    <x v="6"/>
    <x v="2"/>
    <n v="87676.236295189097"/>
    <x v="0"/>
    <x v="4"/>
  </r>
  <r>
    <x v="128"/>
    <x v="1"/>
    <d v="1968-12-31T00:00:00"/>
    <d v="2007-06-27T00:00:00"/>
    <s v="Niv.3"/>
    <x v="1"/>
    <x v="0"/>
    <x v="1"/>
    <x v="2"/>
    <x v="4"/>
    <x v="5"/>
    <x v="0"/>
    <x v="0"/>
    <x v="1"/>
    <n v="0.8"/>
    <x v="0"/>
    <x v="0"/>
    <x v="1"/>
    <n v="14"/>
    <n v="22720"/>
    <n v="18441.716916400987"/>
    <n v="250"/>
    <n v="1"/>
    <x v="0"/>
    <x v="1"/>
    <n v="0"/>
    <x v="3"/>
    <n v="51"/>
    <n v="13"/>
    <x v="0"/>
    <x v="6"/>
    <x v="0"/>
    <n v="26834.788896687136"/>
    <x v="1"/>
    <x v="4"/>
  </r>
  <r>
    <x v="129"/>
    <x v="0"/>
    <d v="1984-07-02T00:00:00"/>
    <d v="2007-07-03T00:00:00"/>
    <s v="Niv.3"/>
    <x v="1"/>
    <x v="1"/>
    <x v="0"/>
    <x v="0"/>
    <x v="3"/>
    <x v="0"/>
    <x v="0"/>
    <x v="0"/>
    <x v="0"/>
    <n v="0.5"/>
    <x v="0"/>
    <x v="0"/>
    <x v="0"/>
    <n v="7"/>
    <n v="22240"/>
    <n v="15301.473660819251"/>
    <n v="100"/>
    <n v="0"/>
    <x v="0"/>
    <x v="0"/>
    <n v="0"/>
    <x v="3"/>
    <n v="36"/>
    <n v="13"/>
    <x v="2"/>
    <x v="6"/>
    <x v="0"/>
    <n v="27762.575374601482"/>
    <x v="0"/>
    <x v="4"/>
  </r>
  <r>
    <x v="130"/>
    <x v="0"/>
    <d v="1977-10-22T00:00:00"/>
    <d v="2007-07-11T00:00:00"/>
    <s v="Niv.3"/>
    <x v="0"/>
    <x v="2"/>
    <x v="0"/>
    <x v="0"/>
    <x v="3"/>
    <x v="0"/>
    <x v="0"/>
    <x v="0"/>
    <x v="0"/>
    <n v="0.8"/>
    <x v="0"/>
    <x v="0"/>
    <x v="0"/>
    <n v="14"/>
    <n v="20320"/>
    <n v="12191.418489269836"/>
    <n v="250"/>
    <n v="0"/>
    <x v="0"/>
    <x v="1"/>
    <n v="0"/>
    <x v="3"/>
    <n v="42"/>
    <n v="13"/>
    <x v="1"/>
    <x v="6"/>
    <x v="0"/>
    <n v="18611.7683929831"/>
    <x v="0"/>
    <x v="4"/>
  </r>
  <r>
    <x v="131"/>
    <x v="0"/>
    <d v="1984-09-30T00:00:00"/>
    <d v="2007-07-12T00:00:00"/>
    <s v="Niv.6"/>
    <x v="0"/>
    <x v="3"/>
    <x v="0"/>
    <x v="1"/>
    <x v="2"/>
    <x v="6"/>
    <x v="0"/>
    <x v="0"/>
    <x v="1"/>
    <n v="0.8"/>
    <x v="1"/>
    <x v="1"/>
    <x v="0"/>
    <n v="7"/>
    <n v="14320"/>
    <n v="21896.184838227273"/>
    <n v="250"/>
    <n v="1"/>
    <x v="1"/>
    <x v="0"/>
    <n v="0"/>
    <x v="3"/>
    <n v="35"/>
    <n v="13"/>
    <x v="2"/>
    <x v="6"/>
    <x v="1"/>
    <n v="14879.702187123803"/>
    <x v="0"/>
    <x v="4"/>
  </r>
  <r>
    <x v="132"/>
    <x v="1"/>
    <d v="1983-01-08T00:00:00"/>
    <d v="2007-07-19T00:00:00"/>
    <s v="Niv.7"/>
    <x v="1"/>
    <x v="4"/>
    <x v="0"/>
    <x v="0"/>
    <x v="3"/>
    <x v="4"/>
    <x v="0"/>
    <x v="0"/>
    <x v="1"/>
    <n v="1"/>
    <x v="1"/>
    <x v="2"/>
    <x v="0"/>
    <n v="7"/>
    <n v="25000"/>
    <n v="44066.416583509075"/>
    <n v="250"/>
    <n v="0"/>
    <x v="0"/>
    <x v="1"/>
    <n v="0"/>
    <x v="3"/>
    <n v="37"/>
    <n v="13"/>
    <x v="2"/>
    <x v="6"/>
    <x v="2"/>
    <n v="22146.184838227273"/>
    <x v="0"/>
    <x v="4"/>
  </r>
  <r>
    <x v="133"/>
    <x v="1"/>
    <d v="1983-03-20T00:00:00"/>
    <d v="2007-07-23T00:00:00"/>
    <s v="Niv.3"/>
    <x v="0"/>
    <x v="4"/>
    <x v="1"/>
    <x v="0"/>
    <x v="3"/>
    <x v="0"/>
    <x v="0"/>
    <x v="0"/>
    <x v="0"/>
    <n v="1"/>
    <x v="0"/>
    <x v="2"/>
    <x v="1"/>
    <n v="7"/>
    <n v="47920"/>
    <n v="35335.765235019375"/>
    <n v="100"/>
    <n v="0"/>
    <x v="0"/>
    <x v="0"/>
    <n v="0"/>
    <x v="3"/>
    <n v="37"/>
    <n v="13"/>
    <x v="2"/>
    <x v="6"/>
    <x v="2"/>
    <n v="44166.416583509075"/>
    <x v="1"/>
    <x v="4"/>
  </r>
  <r>
    <x v="134"/>
    <x v="1"/>
    <d v="1960-02-04T00:00:00"/>
    <d v="2007-08-17T00:00:00"/>
    <s v="Niv.3"/>
    <x v="0"/>
    <x v="4"/>
    <x v="0"/>
    <x v="0"/>
    <x v="3"/>
    <x v="0"/>
    <x v="0"/>
    <x v="1"/>
    <x v="0"/>
    <n v="1"/>
    <x v="1"/>
    <x v="3"/>
    <x v="1"/>
    <n v="7"/>
    <n v="35080"/>
    <n v="35866.948722056019"/>
    <n v="250"/>
    <n v="1"/>
    <x v="0"/>
    <x v="0"/>
    <n v="0"/>
    <x v="3"/>
    <n v="60"/>
    <n v="13"/>
    <x v="0"/>
    <x v="6"/>
    <x v="2"/>
    <n v="35585.765235019375"/>
    <x v="0"/>
    <x v="4"/>
  </r>
  <r>
    <x v="135"/>
    <x v="0"/>
    <d v="1987-10-14T00:00:00"/>
    <d v="2007-08-26T00:00:00"/>
    <s v="Niv.3"/>
    <x v="0"/>
    <x v="0"/>
    <x v="0"/>
    <x v="1"/>
    <x v="2"/>
    <x v="7"/>
    <x v="0"/>
    <x v="0"/>
    <x v="0"/>
    <n v="1"/>
    <x v="0"/>
    <x v="0"/>
    <x v="1"/>
    <n v="28"/>
    <n v="32920"/>
    <n v="18078.426723453955"/>
    <n v="250"/>
    <n v="1"/>
    <x v="0"/>
    <x v="0"/>
    <n v="0"/>
    <x v="3"/>
    <n v="32"/>
    <n v="13"/>
    <x v="2"/>
    <x v="6"/>
    <x v="2"/>
    <n v="36116.948722056019"/>
    <x v="0"/>
    <x v="4"/>
  </r>
  <r>
    <x v="136"/>
    <x v="0"/>
    <d v="1973-07-16T00:00:00"/>
    <d v="2007-10-26T00:00:00"/>
    <s v="Niv.4"/>
    <x v="1"/>
    <x v="1"/>
    <x v="0"/>
    <x v="0"/>
    <x v="3"/>
    <x v="0"/>
    <x v="0"/>
    <x v="2"/>
    <x v="0"/>
    <n v="1"/>
    <x v="0"/>
    <x v="3"/>
    <x v="1"/>
    <n v="14"/>
    <n v="14320"/>
    <n v="46671.203665014938"/>
    <n v="250"/>
    <n v="1"/>
    <x v="0"/>
    <x v="1"/>
    <n v="0"/>
    <x v="3"/>
    <n v="47"/>
    <n v="12"/>
    <x v="1"/>
    <x v="6"/>
    <x v="1"/>
    <n v="18328.426723453955"/>
    <x v="0"/>
    <x v="4"/>
  </r>
  <r>
    <x v="137"/>
    <x v="0"/>
    <d v="1983-01-02T00:00:00"/>
    <d v="2007-10-30T00:00:00"/>
    <s v="Niv.7"/>
    <x v="2"/>
    <x v="2"/>
    <x v="0"/>
    <x v="0"/>
    <x v="0"/>
    <x v="0"/>
    <x v="0"/>
    <x v="0"/>
    <x v="0"/>
    <n v="1"/>
    <x v="0"/>
    <x v="1"/>
    <x v="0"/>
    <n v="7"/>
    <n v="46600"/>
    <n v="61257.913039472201"/>
    <n v="500"/>
    <n v="0"/>
    <x v="1"/>
    <x v="1"/>
    <n v="0"/>
    <x v="3"/>
    <n v="37"/>
    <n v="12"/>
    <x v="2"/>
    <x v="6"/>
    <x v="2"/>
    <n v="47171.203665014938"/>
    <x v="0"/>
    <x v="4"/>
  </r>
  <r>
    <x v="138"/>
    <x v="0"/>
    <d v="1991-09-19T00:00:00"/>
    <d v="2007-11-22T00:00:00"/>
    <s v="Niv.3"/>
    <x v="1"/>
    <x v="3"/>
    <x v="1"/>
    <x v="0"/>
    <x v="0"/>
    <x v="0"/>
    <x v="0"/>
    <x v="0"/>
    <x v="0"/>
    <n v="1"/>
    <x v="0"/>
    <x v="1"/>
    <x v="1"/>
    <n v="0"/>
    <n v="53800"/>
    <n v="14966.646053739798"/>
    <n v="250"/>
    <n v="1"/>
    <x v="1"/>
    <x v="1"/>
    <n v="0"/>
    <x v="3"/>
    <n v="28"/>
    <n v="12"/>
    <x v="3"/>
    <x v="6"/>
    <x v="2"/>
    <n v="61507.913039472201"/>
    <x v="1"/>
    <x v="4"/>
  </r>
  <r>
    <x v="139"/>
    <x v="1"/>
    <d v="1979-01-09T00:00:00"/>
    <d v="2007-11-24T00:00:00"/>
    <s v="Niv.3"/>
    <x v="1"/>
    <x v="4"/>
    <x v="2"/>
    <x v="1"/>
    <x v="2"/>
    <x v="8"/>
    <x v="0"/>
    <x v="0"/>
    <x v="0"/>
    <n v="1"/>
    <x v="0"/>
    <x v="4"/>
    <x v="1"/>
    <n v="0"/>
    <n v="12400"/>
    <n v="60375.927003436787"/>
    <n v="250"/>
    <n v="1"/>
    <x v="0"/>
    <x v="1"/>
    <n v="0"/>
    <x v="3"/>
    <n v="41"/>
    <n v="12"/>
    <x v="1"/>
    <x v="6"/>
    <x v="3"/>
    <n v="15216.646053739798"/>
    <x v="2"/>
    <x v="4"/>
  </r>
  <r>
    <x v="140"/>
    <x v="0"/>
    <d v="1975-10-07T00:00:00"/>
    <d v="2007-12-04T00:00:00"/>
    <s v="Niv.3"/>
    <x v="0"/>
    <x v="4"/>
    <x v="1"/>
    <x v="1"/>
    <x v="2"/>
    <x v="9"/>
    <x v="0"/>
    <x v="1"/>
    <x v="0"/>
    <n v="0.8"/>
    <x v="1"/>
    <x v="2"/>
    <x v="0"/>
    <n v="0"/>
    <n v="63400"/>
    <n v="31074.922590084563"/>
    <n v="250"/>
    <n v="0"/>
    <x v="0"/>
    <x v="1"/>
    <n v="0"/>
    <x v="3"/>
    <n v="44"/>
    <n v="12"/>
    <x v="1"/>
    <x v="6"/>
    <x v="2"/>
    <n v="72701.112404124142"/>
    <x v="1"/>
    <x v="4"/>
  </r>
  <r>
    <x v="141"/>
    <x v="0"/>
    <d v="1985-11-03T00:00:00"/>
    <d v="2007-12-08T00:00:00"/>
    <s v="Niv.3"/>
    <x v="0"/>
    <x v="0"/>
    <x v="2"/>
    <x v="0"/>
    <x v="0"/>
    <x v="0"/>
    <x v="0"/>
    <x v="0"/>
    <x v="1"/>
    <n v="0.8"/>
    <x v="1"/>
    <x v="2"/>
    <x v="0"/>
    <n v="0"/>
    <n v="37240"/>
    <n v="30421.485326617185"/>
    <n v="500"/>
    <n v="0"/>
    <x v="1"/>
    <x v="1"/>
    <n v="0"/>
    <x v="3"/>
    <n v="34"/>
    <n v="12"/>
    <x v="2"/>
    <x v="6"/>
    <x v="2"/>
    <n v="37789.907108101477"/>
    <x v="2"/>
    <x v="4"/>
  </r>
  <r>
    <x v="142"/>
    <x v="1"/>
    <d v="1967-03-16T00:00:00"/>
    <d v="2008-02-29T00:00:00"/>
    <s v="Niv.7"/>
    <x v="0"/>
    <x v="4"/>
    <x v="0"/>
    <x v="0"/>
    <x v="0"/>
    <x v="0"/>
    <x v="0"/>
    <x v="1"/>
    <x v="1"/>
    <n v="1"/>
    <x v="1"/>
    <x v="3"/>
    <x v="1"/>
    <n v="14"/>
    <n v="31840"/>
    <n v="12623.752744412501"/>
    <n v="250"/>
    <n v="1"/>
    <x v="0"/>
    <x v="0"/>
    <n v="0"/>
    <x v="3"/>
    <n v="53"/>
    <n v="12"/>
    <x v="0"/>
    <x v="6"/>
    <x v="2"/>
    <n v="30671.485326617185"/>
    <x v="0"/>
    <x v="4"/>
  </r>
  <r>
    <x v="143"/>
    <x v="0"/>
    <d v="1989-11-13T00:00:00"/>
    <d v="2008-04-04T00:00:00"/>
    <s v="Niv.5"/>
    <x v="1"/>
    <x v="1"/>
    <x v="0"/>
    <x v="0"/>
    <x v="0"/>
    <x v="0"/>
    <x v="0"/>
    <x v="0"/>
    <x v="1"/>
    <n v="1"/>
    <x v="1"/>
    <x v="3"/>
    <x v="1"/>
    <n v="14"/>
    <n v="10720"/>
    <n v="31945.148853956838"/>
    <n v="250"/>
    <n v="1"/>
    <x v="0"/>
    <x v="1"/>
    <n v="0"/>
    <x v="3"/>
    <n v="30"/>
    <n v="12"/>
    <x v="2"/>
    <x v="6"/>
    <x v="3"/>
    <n v="12873.752744412501"/>
    <x v="0"/>
    <x v="4"/>
  </r>
  <r>
    <x v="144"/>
    <x v="1"/>
    <d v="1965-12-02T00:00:00"/>
    <d v="2008-04-28T00:00:00"/>
    <s v="Niv.3"/>
    <x v="0"/>
    <x v="2"/>
    <x v="2"/>
    <x v="0"/>
    <x v="0"/>
    <x v="3"/>
    <x v="0"/>
    <x v="0"/>
    <x v="1"/>
    <n v="0.5"/>
    <x v="1"/>
    <x v="1"/>
    <x v="0"/>
    <n v="0"/>
    <n v="26800"/>
    <n v="16119.789856479762"/>
    <n v="250"/>
    <n v="0"/>
    <x v="1"/>
    <x v="1"/>
    <n v="0"/>
    <x v="3"/>
    <n v="54"/>
    <n v="12"/>
    <x v="0"/>
    <x v="6"/>
    <x v="2"/>
    <n v="48167.723280935257"/>
    <x v="2"/>
    <x v="4"/>
  </r>
  <r>
    <x v="145"/>
    <x v="0"/>
    <d v="1972-05-26T00:00:00"/>
    <d v="2008-05-14T00:00:00"/>
    <s v="Niv.3"/>
    <x v="0"/>
    <x v="3"/>
    <x v="2"/>
    <x v="0"/>
    <x v="0"/>
    <x v="4"/>
    <x v="0"/>
    <x v="0"/>
    <x v="1"/>
    <n v="0.8"/>
    <x v="1"/>
    <x v="1"/>
    <x v="0"/>
    <n v="0"/>
    <n v="16000"/>
    <n v="46799.381113835698"/>
    <n v="250"/>
    <n v="0"/>
    <x v="1"/>
    <x v="1"/>
    <n v="0"/>
    <x v="3"/>
    <n v="48"/>
    <n v="12"/>
    <x v="1"/>
    <x v="6"/>
    <x v="1"/>
    <n v="19593.747827775715"/>
    <x v="2"/>
    <x v="4"/>
  </r>
  <r>
    <x v="146"/>
    <x v="0"/>
    <d v="1992-08-26T00:00:00"/>
    <d v="2008-06-07T00:00:00"/>
    <s v="Niv.6"/>
    <x v="0"/>
    <x v="4"/>
    <x v="1"/>
    <x v="0"/>
    <x v="0"/>
    <x v="0"/>
    <x v="0"/>
    <x v="0"/>
    <x v="1"/>
    <n v="0.8"/>
    <x v="1"/>
    <x v="3"/>
    <x v="1"/>
    <n v="21"/>
    <n v="47200"/>
    <n v="46969.329868438814"/>
    <n v="250"/>
    <n v="1"/>
    <x v="0"/>
    <x v="1"/>
    <n v="0"/>
    <x v="3"/>
    <n v="28"/>
    <n v="12"/>
    <x v="3"/>
    <x v="6"/>
    <x v="2"/>
    <n v="56409.257336602837"/>
    <x v="1"/>
    <x v="4"/>
  </r>
  <r>
    <x v="147"/>
    <x v="0"/>
    <d v="1977-07-10T00:00:00"/>
    <d v="2008-07-26T00:00:00"/>
    <s v="Niv.3"/>
    <x v="0"/>
    <x v="4"/>
    <x v="1"/>
    <x v="0"/>
    <x v="3"/>
    <x v="0"/>
    <x v="0"/>
    <x v="0"/>
    <x v="1"/>
    <n v="0.8"/>
    <x v="1"/>
    <x v="5"/>
    <x v="0"/>
    <n v="0"/>
    <n v="40000"/>
    <n v="30976.765468004931"/>
    <n v="250"/>
    <n v="0"/>
    <x v="1"/>
    <x v="1"/>
    <n v="0"/>
    <x v="3"/>
    <n v="43"/>
    <n v="12"/>
    <x v="1"/>
    <x v="6"/>
    <x v="2"/>
    <n v="56613.195842126574"/>
    <x v="1"/>
    <x v="4"/>
  </r>
  <r>
    <x v="148"/>
    <x v="0"/>
    <d v="1981-07-08T00:00:00"/>
    <d v="2008-10-02T00:00:00"/>
    <s v="Niv.3"/>
    <x v="1"/>
    <x v="0"/>
    <x v="1"/>
    <x v="2"/>
    <x v="1"/>
    <x v="5"/>
    <x v="0"/>
    <x v="0"/>
    <x v="1"/>
    <n v="0.8"/>
    <x v="0"/>
    <x v="0"/>
    <x v="1"/>
    <n v="7"/>
    <n v="36880"/>
    <n v="52605.998578252838"/>
    <n v="250"/>
    <n v="1"/>
    <x v="0"/>
    <x v="0"/>
    <n v="0"/>
    <x v="3"/>
    <n v="39"/>
    <n v="11"/>
    <x v="1"/>
    <x v="6"/>
    <x v="2"/>
    <n v="37422.118561605916"/>
    <x v="1"/>
    <x v="4"/>
  </r>
  <r>
    <x v="149"/>
    <x v="0"/>
    <d v="1988-03-08T00:00:00"/>
    <d v="2008-12-14T00:00:00"/>
    <s v="Niv.3"/>
    <x v="1"/>
    <x v="1"/>
    <x v="1"/>
    <x v="0"/>
    <x v="3"/>
    <x v="0"/>
    <x v="0"/>
    <x v="0"/>
    <x v="0"/>
    <n v="0.5"/>
    <x v="0"/>
    <x v="2"/>
    <x v="0"/>
    <n v="7"/>
    <n v="64000"/>
    <n v="46333.881914424732"/>
    <n v="250"/>
    <n v="0"/>
    <x v="0"/>
    <x v="0"/>
    <n v="0"/>
    <x v="3"/>
    <n v="32"/>
    <n v="11"/>
    <x v="2"/>
    <x v="6"/>
    <x v="2"/>
    <n v="79158.99786737925"/>
    <x v="1"/>
    <x v="4"/>
  </r>
  <r>
    <x v="150"/>
    <x v="0"/>
    <d v="1963-08-09T00:00:00"/>
    <d v="2008-12-25T00:00:00"/>
    <s v="Niv.6"/>
    <x v="0"/>
    <x v="2"/>
    <x v="1"/>
    <x v="0"/>
    <x v="3"/>
    <x v="0"/>
    <x v="0"/>
    <x v="0"/>
    <x v="0"/>
    <n v="0.8"/>
    <x v="0"/>
    <x v="3"/>
    <x v="1"/>
    <n v="14"/>
    <n v="47920"/>
    <n v="17727.997319887167"/>
    <n v="500"/>
    <n v="1"/>
    <x v="0"/>
    <x v="1"/>
    <n v="1"/>
    <x v="3"/>
    <n v="57"/>
    <n v="11"/>
    <x v="0"/>
    <x v="6"/>
    <x v="2"/>
    <n v="56100.658297309674"/>
    <x v="1"/>
    <x v="4"/>
  </r>
  <r>
    <x v="151"/>
    <x v="0"/>
    <d v="1979-06-29T00:00:00"/>
    <d v="2009-01-01T00:00:00"/>
    <s v="Niv.3"/>
    <x v="0"/>
    <x v="3"/>
    <x v="0"/>
    <x v="1"/>
    <x v="2"/>
    <x v="7"/>
    <x v="0"/>
    <x v="0"/>
    <x v="1"/>
    <n v="0.8"/>
    <x v="1"/>
    <x v="1"/>
    <x v="0"/>
    <n v="7"/>
    <n v="17200"/>
    <n v="41924.283295994217"/>
    <n v="250"/>
    <n v="0"/>
    <x v="1"/>
    <x v="0"/>
    <n v="1"/>
    <x v="3"/>
    <n v="41"/>
    <n v="11"/>
    <x v="1"/>
    <x v="6"/>
    <x v="4"/>
    <n v="21523.596783864599"/>
    <x v="0"/>
    <x v="4"/>
  </r>
  <r>
    <x v="152"/>
    <x v="0"/>
    <d v="1975-01-16T00:00:00"/>
    <d v="2009-04-02T00:00:00"/>
    <s v="Niv.7"/>
    <x v="1"/>
    <x v="1"/>
    <x v="0"/>
    <x v="0"/>
    <x v="3"/>
    <x v="4"/>
    <x v="0"/>
    <x v="0"/>
    <x v="1"/>
    <n v="1"/>
    <x v="1"/>
    <x v="2"/>
    <x v="0"/>
    <n v="7"/>
    <n v="37360"/>
    <n v="26156.023906499271"/>
    <n v="500"/>
    <n v="0"/>
    <x v="0"/>
    <x v="1"/>
    <n v="1"/>
    <x v="3"/>
    <n v="45"/>
    <n v="11"/>
    <x v="1"/>
    <x v="6"/>
    <x v="2"/>
    <n v="42424.283295994217"/>
    <x v="0"/>
    <x v="4"/>
  </r>
  <r>
    <x v="153"/>
    <x v="0"/>
    <d v="1983-08-09T00:00:00"/>
    <d v="2009-05-06T00:00:00"/>
    <s v="Niv.6"/>
    <x v="0"/>
    <x v="2"/>
    <x v="0"/>
    <x v="0"/>
    <x v="3"/>
    <x v="0"/>
    <x v="0"/>
    <x v="0"/>
    <x v="0"/>
    <n v="1"/>
    <x v="0"/>
    <x v="0"/>
    <x v="1"/>
    <n v="7"/>
    <n v="25720"/>
    <n v="9589.3240835680372"/>
    <n v="250"/>
    <n v="1"/>
    <x v="0"/>
    <x v="0"/>
    <n v="0"/>
    <x v="3"/>
    <n v="37"/>
    <n v="11"/>
    <x v="2"/>
    <x v="6"/>
    <x v="2"/>
    <n v="26406.023906499271"/>
    <x v="0"/>
    <x v="4"/>
  </r>
  <r>
    <x v="154"/>
    <x v="0"/>
    <d v="1970-03-14T00:00:00"/>
    <d v="2009-06-04T00:00:00"/>
    <s v="Niv.3"/>
    <x v="0"/>
    <x v="4"/>
    <x v="0"/>
    <x v="0"/>
    <x v="3"/>
    <x v="0"/>
    <x v="0"/>
    <x v="1"/>
    <x v="1"/>
    <n v="1"/>
    <x v="1"/>
    <x v="3"/>
    <x v="1"/>
    <n v="7"/>
    <n v="11200"/>
    <n v="16901.70308779904"/>
    <n v="250"/>
    <n v="1"/>
    <x v="0"/>
    <x v="0"/>
    <n v="0"/>
    <x v="3"/>
    <n v="50"/>
    <n v="11"/>
    <x v="0"/>
    <x v="6"/>
    <x v="3"/>
    <n v="9839.3240835680372"/>
    <x v="0"/>
    <x v="4"/>
  </r>
  <r>
    <x v="155"/>
    <x v="1"/>
    <d v="1968-08-31T00:00:00"/>
    <d v="2009-06-13T00:00:00"/>
    <s v="Niv.3"/>
    <x v="0"/>
    <x v="4"/>
    <x v="0"/>
    <x v="1"/>
    <x v="2"/>
    <x v="7"/>
    <x v="0"/>
    <x v="0"/>
    <x v="0"/>
    <n v="1"/>
    <x v="0"/>
    <x v="0"/>
    <x v="1"/>
    <n v="28"/>
    <n v="16720"/>
    <n v="39335.705749000866"/>
    <n v="250"/>
    <n v="1"/>
    <x v="0"/>
    <x v="0"/>
    <n v="0"/>
    <x v="3"/>
    <n v="52"/>
    <n v="11"/>
    <x v="0"/>
    <x v="6"/>
    <x v="1"/>
    <n v="17151.70308779904"/>
    <x v="0"/>
    <x v="4"/>
  </r>
  <r>
    <x v="156"/>
    <x v="0"/>
    <d v="1993-10-15T00:00:00"/>
    <d v="2009-06-29T00:00:00"/>
    <s v="Niv.3"/>
    <x v="1"/>
    <x v="4"/>
    <x v="0"/>
    <x v="0"/>
    <x v="3"/>
    <x v="0"/>
    <x v="0"/>
    <x v="2"/>
    <x v="0"/>
    <n v="1"/>
    <x v="0"/>
    <x v="3"/>
    <x v="1"/>
    <n v="14"/>
    <n v="35440"/>
    <n v="17663.602358845863"/>
    <n v="250"/>
    <n v="1"/>
    <x v="0"/>
    <x v="1"/>
    <n v="0"/>
    <x v="3"/>
    <n v="26"/>
    <n v="11"/>
    <x v="3"/>
    <x v="6"/>
    <x v="2"/>
    <n v="39585.705749000866"/>
    <x v="0"/>
    <x v="4"/>
  </r>
  <r>
    <x v="157"/>
    <x v="0"/>
    <d v="1972-03-16T00:00:00"/>
    <d v="2009-08-10T00:00:00"/>
    <s v="Niv.4"/>
    <x v="0"/>
    <x v="3"/>
    <x v="0"/>
    <x v="0"/>
    <x v="0"/>
    <x v="0"/>
    <x v="0"/>
    <x v="0"/>
    <x v="0"/>
    <n v="1"/>
    <x v="0"/>
    <x v="1"/>
    <x v="0"/>
    <n v="7"/>
    <n v="20080"/>
    <n v="7870.7744944180031"/>
    <n v="250"/>
    <n v="0"/>
    <x v="1"/>
    <x v="1"/>
    <n v="0"/>
    <x v="3"/>
    <n v="48"/>
    <n v="11"/>
    <x v="1"/>
    <x v="6"/>
    <x v="0"/>
    <n v="17913.602358845863"/>
    <x v="0"/>
    <x v="4"/>
  </r>
  <r>
    <x v="158"/>
    <x v="0"/>
    <d v="1986-11-26T00:00:00"/>
    <d v="2009-09-11T00:00:00"/>
    <s v="Niv.7"/>
    <x v="1"/>
    <x v="0"/>
    <x v="0"/>
    <x v="0"/>
    <x v="0"/>
    <x v="0"/>
    <x v="0"/>
    <x v="0"/>
    <x v="0"/>
    <n v="1"/>
    <x v="0"/>
    <x v="1"/>
    <x v="0"/>
    <n v="0"/>
    <n v="10960"/>
    <n v="15337.539787358197"/>
    <n v="100"/>
    <n v="0"/>
    <x v="1"/>
    <x v="1"/>
    <n v="0"/>
    <x v="3"/>
    <n v="33"/>
    <n v="10"/>
    <x v="2"/>
    <x v="6"/>
    <x v="3"/>
    <n v="7970.7744944180031"/>
    <x v="0"/>
    <x v="4"/>
  </r>
  <r>
    <x v="159"/>
    <x v="1"/>
    <d v="1971-06-09T00:00:00"/>
    <d v="2009-10-20T00:00:00"/>
    <s v="Niv.3"/>
    <x v="1"/>
    <x v="1"/>
    <x v="0"/>
    <x v="1"/>
    <x v="2"/>
    <x v="7"/>
    <x v="0"/>
    <x v="0"/>
    <x v="1"/>
    <n v="1"/>
    <x v="0"/>
    <x v="4"/>
    <x v="1"/>
    <n v="0"/>
    <n v="14800"/>
    <n v="25043.769958438315"/>
    <n v="100"/>
    <n v="1"/>
    <x v="0"/>
    <x v="1"/>
    <n v="0"/>
    <x v="3"/>
    <n v="49"/>
    <n v="10"/>
    <x v="0"/>
    <x v="6"/>
    <x v="1"/>
    <n v="15437.539787358197"/>
    <x v="0"/>
    <x v="4"/>
  </r>
  <r>
    <x v="160"/>
    <x v="0"/>
    <d v="1985-07-17T00:00:00"/>
    <d v="2009-12-06T00:00:00"/>
    <s v="Niv.3"/>
    <x v="0"/>
    <x v="2"/>
    <x v="0"/>
    <x v="1"/>
    <x v="2"/>
    <x v="6"/>
    <x v="0"/>
    <x v="1"/>
    <x v="0"/>
    <n v="0.8"/>
    <x v="1"/>
    <x v="5"/>
    <x v="0"/>
    <n v="0"/>
    <n v="30760"/>
    <n v="22400.245119768166"/>
    <n v="250"/>
    <n v="0"/>
    <x v="0"/>
    <x v="1"/>
    <n v="0"/>
    <x v="3"/>
    <n v="35"/>
    <n v="10"/>
    <x v="2"/>
    <x v="6"/>
    <x v="2"/>
    <n v="30302.523950125978"/>
    <x v="0"/>
    <x v="4"/>
  </r>
  <r>
    <x v="161"/>
    <x v="0"/>
    <d v="1982-04-30T00:00:00"/>
    <d v="2009-12-16T00:00:00"/>
    <s v="Niv.7"/>
    <x v="2"/>
    <x v="3"/>
    <x v="0"/>
    <x v="0"/>
    <x v="0"/>
    <x v="0"/>
    <x v="0"/>
    <x v="0"/>
    <x v="1"/>
    <n v="0.8"/>
    <x v="1"/>
    <x v="5"/>
    <x v="0"/>
    <n v="0"/>
    <n v="20320"/>
    <n v="33280.696126502342"/>
    <n v="500"/>
    <n v="0"/>
    <x v="1"/>
    <x v="1"/>
    <n v="0"/>
    <x v="3"/>
    <n v="38"/>
    <n v="10"/>
    <x v="2"/>
    <x v="6"/>
    <x v="0"/>
    <n v="27380.2941437218"/>
    <x v="0"/>
    <x v="4"/>
  </r>
  <r>
    <x v="162"/>
    <x v="1"/>
    <d v="1989-06-02T00:00:00"/>
    <d v="2010-01-24T00:00:00"/>
    <s v="Niv.3"/>
    <x v="0"/>
    <x v="4"/>
    <x v="1"/>
    <x v="0"/>
    <x v="0"/>
    <x v="0"/>
    <x v="0"/>
    <x v="1"/>
    <x v="1"/>
    <n v="1"/>
    <x v="1"/>
    <x v="2"/>
    <x v="0"/>
    <n v="14"/>
    <n v="30760"/>
    <n v="24337.593439781922"/>
    <n v="250"/>
    <n v="0"/>
    <x v="0"/>
    <x v="0"/>
    <n v="0"/>
    <x v="3"/>
    <n v="31"/>
    <n v="10"/>
    <x v="2"/>
    <x v="6"/>
    <x v="2"/>
    <n v="33530.696126502342"/>
    <x v="1"/>
    <x v="4"/>
  </r>
  <r>
    <x v="163"/>
    <x v="0"/>
    <d v="1972-02-02T00:00:00"/>
    <d v="2010-02-01T00:00:00"/>
    <s v="Niv.3"/>
    <x v="1"/>
    <x v="4"/>
    <x v="0"/>
    <x v="0"/>
    <x v="0"/>
    <x v="0"/>
    <x v="0"/>
    <x v="0"/>
    <x v="1"/>
    <n v="1"/>
    <x v="1"/>
    <x v="3"/>
    <x v="1"/>
    <n v="14"/>
    <n v="22000"/>
    <n v="19430.668181131787"/>
    <n v="250"/>
    <n v="1"/>
    <x v="0"/>
    <x v="1"/>
    <n v="0"/>
    <x v="3"/>
    <n v="48"/>
    <n v="10"/>
    <x v="1"/>
    <x v="6"/>
    <x v="0"/>
    <n v="24587.593439781922"/>
    <x v="0"/>
    <x v="4"/>
  </r>
  <r>
    <x v="164"/>
    <x v="1"/>
    <d v="1969-12-14T00:00:00"/>
    <d v="2010-02-09T00:00:00"/>
    <s v="Niv.7"/>
    <x v="0"/>
    <x v="4"/>
    <x v="0"/>
    <x v="0"/>
    <x v="0"/>
    <x v="3"/>
    <x v="0"/>
    <x v="0"/>
    <x v="1"/>
    <n v="0.5"/>
    <x v="1"/>
    <x v="1"/>
    <x v="0"/>
    <n v="0"/>
    <n v="17200"/>
    <n v="65239.797824614652"/>
    <n v="250"/>
    <n v="0"/>
    <x v="1"/>
    <x v="1"/>
    <n v="0"/>
    <x v="3"/>
    <n v="50"/>
    <n v="10"/>
    <x v="0"/>
    <x v="6"/>
    <x v="4"/>
    <n v="29396.002271697682"/>
    <x v="0"/>
    <x v="4"/>
  </r>
  <r>
    <x v="165"/>
    <x v="0"/>
    <d v="1961-03-03T00:00:00"/>
    <d v="2010-02-14T00:00:00"/>
    <s v="Niv.7"/>
    <x v="0"/>
    <x v="0"/>
    <x v="0"/>
    <x v="0"/>
    <x v="0"/>
    <x v="4"/>
    <x v="0"/>
    <x v="0"/>
    <x v="1"/>
    <n v="1"/>
    <x v="1"/>
    <x v="1"/>
    <x v="0"/>
    <n v="0"/>
    <n v="61000"/>
    <n v="16355.195562830715"/>
    <n v="250"/>
    <n v="0"/>
    <x v="1"/>
    <x v="1"/>
    <n v="0"/>
    <x v="3"/>
    <n v="59"/>
    <n v="10"/>
    <x v="0"/>
    <x v="6"/>
    <x v="2"/>
    <n v="65489.797824614652"/>
    <x v="0"/>
    <x v="4"/>
  </r>
  <r>
    <x v="166"/>
    <x v="0"/>
    <d v="1994-06-18T00:00:00"/>
    <d v="2010-03-17T00:00:00"/>
    <s v="Niv.3"/>
    <x v="0"/>
    <x v="1"/>
    <x v="0"/>
    <x v="0"/>
    <x v="0"/>
    <x v="0"/>
    <x v="0"/>
    <x v="0"/>
    <x v="1"/>
    <n v="0.8"/>
    <x v="1"/>
    <x v="2"/>
    <x v="1"/>
    <n v="21"/>
    <n v="19120"/>
    <n v="28553.368070922246"/>
    <n v="250"/>
    <n v="1"/>
    <x v="0"/>
    <x v="1"/>
    <n v="0"/>
    <x v="3"/>
    <n v="26"/>
    <n v="10"/>
    <x v="3"/>
    <x v="6"/>
    <x v="4"/>
    <n v="19876.234675396856"/>
    <x v="0"/>
    <x v="4"/>
  </r>
  <r>
    <x v="167"/>
    <x v="0"/>
    <d v="1993-01-23T00:00:00"/>
    <d v="2010-03-17T00:00:00"/>
    <s v="Niv.3"/>
    <x v="0"/>
    <x v="2"/>
    <x v="2"/>
    <x v="0"/>
    <x v="3"/>
    <x v="0"/>
    <x v="0"/>
    <x v="0"/>
    <x v="1"/>
    <n v="0.8"/>
    <x v="1"/>
    <x v="5"/>
    <x v="0"/>
    <n v="0"/>
    <n v="34360"/>
    <n v="44152.783778367717"/>
    <n v="250"/>
    <n v="0"/>
    <x v="1"/>
    <x v="1"/>
    <n v="0"/>
    <x v="3"/>
    <n v="27"/>
    <n v="10"/>
    <x v="3"/>
    <x v="6"/>
    <x v="2"/>
    <n v="34514.041685106691"/>
    <x v="2"/>
    <x v="4"/>
  </r>
  <r>
    <x v="168"/>
    <x v="1"/>
    <d v="1987-05-31T00:00:00"/>
    <d v="2010-04-11T00:00:00"/>
    <s v="Niv.6"/>
    <x v="1"/>
    <x v="3"/>
    <x v="0"/>
    <x v="0"/>
    <x v="3"/>
    <x v="0"/>
    <x v="0"/>
    <x v="0"/>
    <x v="0"/>
    <n v="0.8"/>
    <x v="0"/>
    <x v="2"/>
    <x v="0"/>
    <n v="7"/>
    <n v="51280"/>
    <n v="19841.042579528996"/>
    <n v="100"/>
    <n v="0"/>
    <x v="0"/>
    <x v="0"/>
    <n v="0"/>
    <x v="3"/>
    <n v="33"/>
    <n v="10"/>
    <x v="2"/>
    <x v="6"/>
    <x v="2"/>
    <n v="53083.340534041257"/>
    <x v="0"/>
    <x v="4"/>
  </r>
  <r>
    <x v="169"/>
    <x v="0"/>
    <d v="1991-11-21T00:00:00"/>
    <d v="2010-04-13T00:00:00"/>
    <s v="Niv.3"/>
    <x v="1"/>
    <x v="4"/>
    <x v="0"/>
    <x v="0"/>
    <x v="3"/>
    <x v="0"/>
    <x v="0"/>
    <x v="0"/>
    <x v="0"/>
    <n v="0.5"/>
    <x v="0"/>
    <x v="2"/>
    <x v="0"/>
    <n v="7"/>
    <n v="24280"/>
    <n v="8959.0759426308414"/>
    <n v="250"/>
    <n v="0"/>
    <x v="0"/>
    <x v="0"/>
    <n v="0"/>
    <x v="3"/>
    <n v="28"/>
    <n v="10"/>
    <x v="3"/>
    <x v="6"/>
    <x v="2"/>
    <n v="30011.563869293495"/>
    <x v="0"/>
    <x v="4"/>
  </r>
  <r>
    <x v="170"/>
    <x v="1"/>
    <d v="1989-01-31T00:00:00"/>
    <d v="2010-05-10T00:00:00"/>
    <s v="Niv.3"/>
    <x v="0"/>
    <x v="4"/>
    <x v="0"/>
    <x v="1"/>
    <x v="2"/>
    <x v="10"/>
    <x v="0"/>
    <x v="0"/>
    <x v="1"/>
    <n v="1"/>
    <x v="0"/>
    <x v="3"/>
    <x v="1"/>
    <n v="14"/>
    <n v="10960"/>
    <n v="37366.457711833384"/>
    <n v="250"/>
    <n v="1"/>
    <x v="0"/>
    <x v="1"/>
    <n v="0"/>
    <x v="3"/>
    <n v="31"/>
    <n v="10"/>
    <x v="2"/>
    <x v="6"/>
    <x v="3"/>
    <n v="9209.0759426308414"/>
    <x v="0"/>
    <x v="4"/>
  </r>
  <r>
    <x v="171"/>
    <x v="0"/>
    <d v="1975-10-14T00:00:00"/>
    <d v="2010-05-15T00:00:00"/>
    <s v="Niv.3"/>
    <x v="0"/>
    <x v="0"/>
    <x v="0"/>
    <x v="0"/>
    <x v="3"/>
    <x v="11"/>
    <x v="0"/>
    <x v="0"/>
    <x v="0"/>
    <n v="0.8"/>
    <x v="1"/>
    <x v="1"/>
    <x v="1"/>
    <n v="7"/>
    <n v="41800"/>
    <n v="18301.102004723507"/>
    <n v="250"/>
    <n v="1"/>
    <x v="1"/>
    <x v="0"/>
    <n v="0"/>
    <x v="3"/>
    <n v="44"/>
    <n v="10"/>
    <x v="1"/>
    <x v="6"/>
    <x v="2"/>
    <n v="45089.749254200062"/>
    <x v="0"/>
    <x v="4"/>
  </r>
  <r>
    <x v="172"/>
    <x v="0"/>
    <d v="1990-02-12T00:00:00"/>
    <d v="2010-05-19T00:00:00"/>
    <s v="Niv.6"/>
    <x v="1"/>
    <x v="4"/>
    <x v="1"/>
    <x v="0"/>
    <x v="3"/>
    <x v="0"/>
    <x v="0"/>
    <x v="0"/>
    <x v="0"/>
    <n v="1"/>
    <x v="1"/>
    <x v="2"/>
    <x v="0"/>
    <n v="7"/>
    <n v="18400"/>
    <n v="16403.52478845045"/>
    <n v="250"/>
    <n v="0"/>
    <x v="0"/>
    <x v="1"/>
    <n v="1"/>
    <x v="3"/>
    <n v="30"/>
    <n v="10"/>
    <x v="2"/>
    <x v="6"/>
    <x v="4"/>
    <n v="18551.102004723507"/>
    <x v="1"/>
    <x v="4"/>
  </r>
  <r>
    <x v="173"/>
    <x v="1"/>
    <d v="1975-01-20T00:00:00"/>
    <d v="2010-05-26T00:00:00"/>
    <s v="Niv.5"/>
    <x v="0"/>
    <x v="1"/>
    <x v="2"/>
    <x v="0"/>
    <x v="3"/>
    <x v="0"/>
    <x v="0"/>
    <x v="1"/>
    <x v="1"/>
    <n v="1"/>
    <x v="0"/>
    <x v="2"/>
    <x v="0"/>
    <n v="7"/>
    <n v="20320"/>
    <n v="25490.715815212352"/>
    <n v="500"/>
    <n v="0"/>
    <x v="0"/>
    <x v="0"/>
    <n v="1"/>
    <x v="3"/>
    <n v="45"/>
    <n v="10"/>
    <x v="1"/>
    <x v="6"/>
    <x v="0"/>
    <n v="16903.52478845045"/>
    <x v="2"/>
    <x v="4"/>
  </r>
  <r>
    <x v="174"/>
    <x v="1"/>
    <d v="1971-10-16T00:00:00"/>
    <d v="2010-07-07T00:00:00"/>
    <s v="Niv.3"/>
    <x v="0"/>
    <x v="2"/>
    <x v="1"/>
    <x v="1"/>
    <x v="2"/>
    <x v="7"/>
    <x v="0"/>
    <x v="0"/>
    <x v="0"/>
    <n v="1"/>
    <x v="1"/>
    <x v="3"/>
    <x v="1"/>
    <n v="7"/>
    <n v="21760"/>
    <n v="19351.693647972817"/>
    <n v="250"/>
    <n v="1"/>
    <x v="0"/>
    <x v="0"/>
    <n v="0"/>
    <x v="3"/>
    <n v="48"/>
    <n v="10"/>
    <x v="1"/>
    <x v="6"/>
    <x v="0"/>
    <n v="25740.715815212352"/>
    <x v="1"/>
    <x v="4"/>
  </r>
  <r>
    <x v="175"/>
    <x v="0"/>
    <d v="1958-09-27T00:00:00"/>
    <d v="2010-07-21T00:00:00"/>
    <s v="Niv.3"/>
    <x v="0"/>
    <x v="3"/>
    <x v="2"/>
    <x v="0"/>
    <x v="3"/>
    <x v="0"/>
    <x v="0"/>
    <x v="2"/>
    <x v="0"/>
    <n v="1"/>
    <x v="0"/>
    <x v="3"/>
    <x v="1"/>
    <n v="28"/>
    <n v="24280"/>
    <n v="40705.97371992001"/>
    <n v="250"/>
    <n v="1"/>
    <x v="0"/>
    <x v="0"/>
    <n v="0"/>
    <x v="3"/>
    <n v="61"/>
    <n v="10"/>
    <x v="0"/>
    <x v="6"/>
    <x v="2"/>
    <n v="19601.693647972817"/>
    <x v="2"/>
    <x v="4"/>
  </r>
  <r>
    <x v="176"/>
    <x v="1"/>
    <d v="1992-03-06T00:00:00"/>
    <d v="2010-08-26T00:00:00"/>
    <s v="Niv.3"/>
    <x v="1"/>
    <x v="4"/>
    <x v="0"/>
    <x v="0"/>
    <x v="0"/>
    <x v="0"/>
    <x v="0"/>
    <x v="0"/>
    <x v="0"/>
    <n v="1"/>
    <x v="0"/>
    <x v="3"/>
    <x v="1"/>
    <n v="14"/>
    <n v="36400"/>
    <n v="21482.696396953514"/>
    <n v="250"/>
    <n v="1"/>
    <x v="0"/>
    <x v="1"/>
    <n v="0"/>
    <x v="3"/>
    <n v="28"/>
    <n v="10"/>
    <x v="3"/>
    <x v="6"/>
    <x v="2"/>
    <n v="40955.97371992001"/>
    <x v="0"/>
    <x v="4"/>
  </r>
  <r>
    <x v="177"/>
    <x v="0"/>
    <d v="1992-06-02T00:00:00"/>
    <d v="2010-09-21T00:00:00"/>
    <s v="Niv.4"/>
    <x v="0"/>
    <x v="4"/>
    <x v="0"/>
    <x v="0"/>
    <x v="0"/>
    <x v="0"/>
    <x v="0"/>
    <x v="0"/>
    <x v="0"/>
    <n v="1"/>
    <x v="0"/>
    <x v="1"/>
    <x v="0"/>
    <n v="7"/>
    <n v="19600"/>
    <n v="55231.13249129249"/>
    <n v="500"/>
    <n v="0"/>
    <x v="1"/>
    <x v="1"/>
    <n v="0"/>
    <x v="3"/>
    <n v="28"/>
    <n v="9"/>
    <x v="3"/>
    <x v="6"/>
    <x v="4"/>
    <n v="21982.696396953514"/>
    <x v="0"/>
    <x v="4"/>
  </r>
  <r>
    <x v="178"/>
    <x v="1"/>
    <d v="1977-01-06T00:00:00"/>
    <d v="2010-09-29T00:00:00"/>
    <s v="Niv.7"/>
    <x v="1"/>
    <x v="0"/>
    <x v="2"/>
    <x v="1"/>
    <x v="2"/>
    <x v="12"/>
    <x v="0"/>
    <x v="0"/>
    <x v="0"/>
    <n v="1"/>
    <x v="0"/>
    <x v="1"/>
    <x v="1"/>
    <n v="0"/>
    <n v="49840"/>
    <n v="28565.104428200088"/>
    <n v="500"/>
    <n v="1"/>
    <x v="1"/>
    <x v="1"/>
    <n v="0"/>
    <x v="3"/>
    <n v="43"/>
    <n v="9"/>
    <x v="1"/>
    <x v="6"/>
    <x v="2"/>
    <n v="55731.13249129249"/>
    <x v="2"/>
    <x v="4"/>
  </r>
  <r>
    <x v="179"/>
    <x v="0"/>
    <d v="1964-04-20T00:00:00"/>
    <d v="2010-10-04T00:00:00"/>
    <s v="Niv.3"/>
    <x v="1"/>
    <x v="0"/>
    <x v="0"/>
    <x v="0"/>
    <x v="0"/>
    <x v="0"/>
    <x v="0"/>
    <x v="0"/>
    <x v="0"/>
    <n v="0.8"/>
    <x v="1"/>
    <x v="5"/>
    <x v="0"/>
    <n v="0"/>
    <n v="25000"/>
    <n v="22153.990747239281"/>
    <n v="250"/>
    <n v="0"/>
    <x v="0"/>
    <x v="1"/>
    <n v="0"/>
    <x v="3"/>
    <n v="56"/>
    <n v="9"/>
    <x v="0"/>
    <x v="6"/>
    <x v="2"/>
    <n v="34528.125313840101"/>
    <x v="0"/>
    <x v="4"/>
  </r>
  <r>
    <x v="180"/>
    <x v="0"/>
    <d v="1984-09-08T00:00:00"/>
    <d v="2010-11-03T00:00:00"/>
    <s v="Niv.3"/>
    <x v="0"/>
    <x v="1"/>
    <x v="0"/>
    <x v="1"/>
    <x v="2"/>
    <x v="1"/>
    <x v="0"/>
    <x v="0"/>
    <x v="0"/>
    <n v="0.8"/>
    <x v="1"/>
    <x v="5"/>
    <x v="0"/>
    <n v="0"/>
    <n v="22720"/>
    <n v="29615.722811342021"/>
    <n v="250"/>
    <n v="0"/>
    <x v="1"/>
    <x v="1"/>
    <n v="0"/>
    <x v="3"/>
    <n v="35"/>
    <n v="9"/>
    <x v="2"/>
    <x v="6"/>
    <x v="0"/>
    <n v="26834.788896687136"/>
    <x v="0"/>
    <x v="4"/>
  </r>
  <r>
    <x v="181"/>
    <x v="0"/>
    <d v="1974-01-14T00:00:00"/>
    <d v="2010-11-15T00:00:00"/>
    <s v="Niv.7"/>
    <x v="0"/>
    <x v="2"/>
    <x v="0"/>
    <x v="1"/>
    <x v="2"/>
    <x v="2"/>
    <x v="0"/>
    <x v="1"/>
    <x v="0"/>
    <n v="1"/>
    <x v="1"/>
    <x v="2"/>
    <x v="0"/>
    <n v="14"/>
    <n v="34720"/>
    <n v="63297.413159511823"/>
    <n v="250"/>
    <n v="0"/>
    <x v="0"/>
    <x v="0"/>
    <n v="0"/>
    <x v="3"/>
    <n v="46"/>
    <n v="9"/>
    <x v="1"/>
    <x v="6"/>
    <x v="2"/>
    <n v="29865.722811342021"/>
    <x v="0"/>
    <x v="4"/>
  </r>
  <r>
    <x v="182"/>
    <x v="0"/>
    <d v="1965-02-18T00:00:00"/>
    <d v="2010-12-17T00:00:00"/>
    <s v="Niv.3"/>
    <x v="0"/>
    <x v="3"/>
    <x v="0"/>
    <x v="0"/>
    <x v="0"/>
    <x v="0"/>
    <x v="0"/>
    <x v="0"/>
    <x v="1"/>
    <n v="0.8"/>
    <x v="1"/>
    <x v="2"/>
    <x v="0"/>
    <n v="14"/>
    <n v="61000"/>
    <n v="34396.47936039092"/>
    <n v="250"/>
    <n v="0"/>
    <x v="0"/>
    <x v="1"/>
    <n v="0"/>
    <x v="3"/>
    <n v="55"/>
    <n v="9"/>
    <x v="0"/>
    <x v="6"/>
    <x v="2"/>
    <n v="76206.895791414179"/>
    <x v="0"/>
    <x v="4"/>
  </r>
  <r>
    <x v="183"/>
    <x v="1"/>
    <d v="1994-08-30T00:00:00"/>
    <d v="2011-02-28T00:00:00"/>
    <s v="Niv.3"/>
    <x v="1"/>
    <x v="1"/>
    <x v="0"/>
    <x v="0"/>
    <x v="0"/>
    <x v="0"/>
    <x v="0"/>
    <x v="1"/>
    <x v="1"/>
    <n v="0.5"/>
    <x v="1"/>
    <x v="1"/>
    <x v="0"/>
    <n v="0"/>
    <n v="28600"/>
    <n v="31455.664534208503"/>
    <n v="250"/>
    <n v="0"/>
    <x v="1"/>
    <x v="1"/>
    <n v="0"/>
    <x v="3"/>
    <n v="26"/>
    <n v="9"/>
    <x v="3"/>
    <x v="6"/>
    <x v="2"/>
    <n v="51844.71904058638"/>
    <x v="0"/>
    <x v="4"/>
  </r>
  <r>
    <x v="184"/>
    <x v="1"/>
    <d v="1994-09-08T00:00:00"/>
    <d v="2011-03-14T00:00:00"/>
    <s v="Niv.3"/>
    <x v="0"/>
    <x v="2"/>
    <x v="0"/>
    <x v="0"/>
    <x v="0"/>
    <x v="0"/>
    <x v="0"/>
    <x v="0"/>
    <x v="1"/>
    <n v="1"/>
    <x v="1"/>
    <x v="1"/>
    <x v="0"/>
    <n v="0"/>
    <n v="37840"/>
    <n v="25871.461468719062"/>
    <n v="100"/>
    <n v="0"/>
    <x v="1"/>
    <x v="1"/>
    <n v="0"/>
    <x v="3"/>
    <n v="25"/>
    <n v="9"/>
    <x v="3"/>
    <x v="6"/>
    <x v="2"/>
    <n v="31555.664534208503"/>
    <x v="0"/>
    <x v="4"/>
  </r>
  <r>
    <x v="185"/>
    <x v="0"/>
    <d v="1994-08-17T00:00:00"/>
    <d v="2011-04-13T00:00:00"/>
    <s v="Niv.7"/>
    <x v="0"/>
    <x v="4"/>
    <x v="0"/>
    <x v="0"/>
    <x v="0"/>
    <x v="3"/>
    <x v="0"/>
    <x v="0"/>
    <x v="1"/>
    <n v="0.8"/>
    <x v="1"/>
    <x v="2"/>
    <x v="1"/>
    <n v="21"/>
    <n v="23440"/>
    <n v="35783.501524842031"/>
    <n v="250"/>
    <n v="1"/>
    <x v="0"/>
    <x v="1"/>
    <n v="0"/>
    <x v="3"/>
    <n v="26"/>
    <n v="9"/>
    <x v="3"/>
    <x v="6"/>
    <x v="2"/>
    <n v="31295.753762462875"/>
    <x v="0"/>
    <x v="4"/>
  </r>
  <r>
    <x v="186"/>
    <x v="0"/>
    <d v="1961-08-20T00:00:00"/>
    <d v="2011-04-22T00:00:00"/>
    <s v="Niv.6"/>
    <x v="0"/>
    <x v="4"/>
    <x v="0"/>
    <x v="0"/>
    <x v="0"/>
    <x v="4"/>
    <x v="0"/>
    <x v="0"/>
    <x v="1"/>
    <n v="0.8"/>
    <x v="1"/>
    <x v="5"/>
    <x v="0"/>
    <n v="0"/>
    <n v="37240"/>
    <n v="47150.209801328267"/>
    <n v="100"/>
    <n v="0"/>
    <x v="1"/>
    <x v="1"/>
    <n v="0"/>
    <x v="3"/>
    <n v="59"/>
    <n v="9"/>
    <x v="0"/>
    <x v="6"/>
    <x v="2"/>
    <n v="43040.201829810438"/>
    <x v="0"/>
    <x v="4"/>
  </r>
  <r>
    <x v="187"/>
    <x v="0"/>
    <d v="1996-02-24T00:00:00"/>
    <d v="2011-05-07T00:00:00"/>
    <s v="Niv.3"/>
    <x v="0"/>
    <x v="4"/>
    <x v="0"/>
    <x v="0"/>
    <x v="0"/>
    <x v="0"/>
    <x v="0"/>
    <x v="0"/>
    <x v="1"/>
    <n v="0.8"/>
    <x v="0"/>
    <x v="0"/>
    <x v="1"/>
    <n v="7"/>
    <n v="43000"/>
    <n v="58284.15753012606"/>
    <n v="250"/>
    <n v="1"/>
    <x v="0"/>
    <x v="0"/>
    <n v="0"/>
    <x v="3"/>
    <n v="24"/>
    <n v="9"/>
    <x v="3"/>
    <x v="6"/>
    <x v="2"/>
    <n v="56830.251761593921"/>
    <x v="0"/>
    <x v="4"/>
  </r>
  <r>
    <x v="188"/>
    <x v="1"/>
    <d v="1975-04-01T00:00:00"/>
    <d v="2011-05-21T00:00:00"/>
    <s v="Niv.3"/>
    <x v="1"/>
    <x v="3"/>
    <x v="0"/>
    <x v="0"/>
    <x v="3"/>
    <x v="0"/>
    <x v="0"/>
    <x v="0"/>
    <x v="1"/>
    <n v="0.5"/>
    <x v="0"/>
    <x v="2"/>
    <x v="0"/>
    <n v="7"/>
    <n v="57400"/>
    <n v="22153.990747239281"/>
    <n v="250"/>
    <n v="0"/>
    <x v="0"/>
    <x v="0"/>
    <n v="0"/>
    <x v="3"/>
    <n v="45"/>
    <n v="9"/>
    <x v="1"/>
    <x v="6"/>
    <x v="2"/>
    <n v="87676.236295189097"/>
    <x v="0"/>
    <x v="4"/>
  </r>
  <r>
    <x v="189"/>
    <x v="1"/>
    <d v="1986-10-05T00:00:00"/>
    <d v="2011-09-20T00:00:00"/>
    <s v="Niv.3"/>
    <x v="1"/>
    <x v="0"/>
    <x v="1"/>
    <x v="2"/>
    <x v="4"/>
    <x v="5"/>
    <x v="0"/>
    <x v="0"/>
    <x v="1"/>
    <n v="0.8"/>
    <x v="0"/>
    <x v="0"/>
    <x v="1"/>
    <n v="14"/>
    <n v="22720"/>
    <n v="18441.716916400987"/>
    <n v="250"/>
    <n v="1"/>
    <x v="0"/>
    <x v="1"/>
    <n v="0"/>
    <x v="3"/>
    <n v="33"/>
    <n v="8"/>
    <x v="2"/>
    <x v="7"/>
    <x v="0"/>
    <n v="26834.788896687136"/>
    <x v="1"/>
    <x v="4"/>
  </r>
  <r>
    <x v="190"/>
    <x v="0"/>
    <d v="1991-09-17T00:00:00"/>
    <d v="2011-10-04T00:00:00"/>
    <s v="Niv.4"/>
    <x v="0"/>
    <x v="1"/>
    <x v="0"/>
    <x v="0"/>
    <x v="3"/>
    <x v="0"/>
    <x v="0"/>
    <x v="0"/>
    <x v="0"/>
    <n v="0.5"/>
    <x v="0"/>
    <x v="0"/>
    <x v="0"/>
    <n v="7"/>
    <n v="22240"/>
    <n v="15301.473660819251"/>
    <n v="100"/>
    <n v="0"/>
    <x v="0"/>
    <x v="0"/>
    <n v="0"/>
    <x v="3"/>
    <n v="28"/>
    <n v="8"/>
    <x v="3"/>
    <x v="7"/>
    <x v="0"/>
    <n v="27762.575374601482"/>
    <x v="0"/>
    <x v="4"/>
  </r>
  <r>
    <x v="191"/>
    <x v="0"/>
    <d v="1988-12-25T00:00:00"/>
    <d v="2011-11-02T00:00:00"/>
    <s v="Niv.7"/>
    <x v="0"/>
    <x v="2"/>
    <x v="0"/>
    <x v="0"/>
    <x v="3"/>
    <x v="0"/>
    <x v="0"/>
    <x v="0"/>
    <x v="0"/>
    <n v="0.8"/>
    <x v="0"/>
    <x v="0"/>
    <x v="0"/>
    <n v="14"/>
    <n v="20320"/>
    <n v="12191.418489269836"/>
    <n v="250"/>
    <n v="0"/>
    <x v="0"/>
    <x v="1"/>
    <n v="0"/>
    <x v="3"/>
    <n v="31"/>
    <n v="8"/>
    <x v="2"/>
    <x v="7"/>
    <x v="0"/>
    <n v="18611.7683929831"/>
    <x v="0"/>
    <x v="4"/>
  </r>
  <r>
    <x v="192"/>
    <x v="1"/>
    <d v="1962-08-21T00:00:00"/>
    <d v="2011-11-20T00:00:00"/>
    <s v="Niv.3"/>
    <x v="1"/>
    <x v="3"/>
    <x v="0"/>
    <x v="1"/>
    <x v="2"/>
    <x v="6"/>
    <x v="0"/>
    <x v="0"/>
    <x v="1"/>
    <n v="0.8"/>
    <x v="1"/>
    <x v="1"/>
    <x v="0"/>
    <n v="7"/>
    <n v="14320"/>
    <n v="21896.184838227273"/>
    <n v="250"/>
    <n v="1"/>
    <x v="1"/>
    <x v="0"/>
    <n v="0"/>
    <x v="3"/>
    <n v="58"/>
    <n v="8"/>
    <x v="0"/>
    <x v="7"/>
    <x v="1"/>
    <n v="14879.702187123803"/>
    <x v="0"/>
    <x v="4"/>
  </r>
  <r>
    <x v="193"/>
    <x v="1"/>
    <d v="1960-04-11T00:00:00"/>
    <d v="2012-02-12T00:00:00"/>
    <s v="Niv.3"/>
    <x v="0"/>
    <x v="4"/>
    <x v="0"/>
    <x v="0"/>
    <x v="3"/>
    <x v="4"/>
    <x v="0"/>
    <x v="0"/>
    <x v="1"/>
    <n v="1"/>
    <x v="1"/>
    <x v="2"/>
    <x v="0"/>
    <n v="7"/>
    <n v="25000"/>
    <n v="44066.416583509075"/>
    <n v="250"/>
    <n v="0"/>
    <x v="0"/>
    <x v="1"/>
    <n v="0"/>
    <x v="3"/>
    <n v="60"/>
    <n v="8"/>
    <x v="0"/>
    <x v="7"/>
    <x v="2"/>
    <n v="22146.184838227273"/>
    <x v="0"/>
    <x v="4"/>
  </r>
  <r>
    <x v="194"/>
    <x v="0"/>
    <d v="1960-01-17T00:00:00"/>
    <d v="2012-02-16T00:00:00"/>
    <s v="Niv.7"/>
    <x v="0"/>
    <x v="4"/>
    <x v="1"/>
    <x v="0"/>
    <x v="3"/>
    <x v="0"/>
    <x v="0"/>
    <x v="0"/>
    <x v="0"/>
    <n v="1"/>
    <x v="0"/>
    <x v="2"/>
    <x v="1"/>
    <n v="7"/>
    <n v="47920"/>
    <n v="35335.765235019375"/>
    <n v="100"/>
    <n v="0"/>
    <x v="0"/>
    <x v="0"/>
    <n v="0"/>
    <x v="3"/>
    <n v="60"/>
    <n v="8"/>
    <x v="0"/>
    <x v="7"/>
    <x v="2"/>
    <n v="44166.416583509075"/>
    <x v="1"/>
    <x v="4"/>
  </r>
  <r>
    <x v="195"/>
    <x v="1"/>
    <d v="1982-09-19T00:00:00"/>
    <d v="2012-02-20T00:00:00"/>
    <s v="Niv.3"/>
    <x v="0"/>
    <x v="4"/>
    <x v="0"/>
    <x v="0"/>
    <x v="3"/>
    <x v="0"/>
    <x v="0"/>
    <x v="1"/>
    <x v="0"/>
    <n v="1"/>
    <x v="1"/>
    <x v="3"/>
    <x v="1"/>
    <n v="7"/>
    <n v="35080"/>
    <n v="35866.948722056019"/>
    <n v="250"/>
    <n v="1"/>
    <x v="0"/>
    <x v="0"/>
    <n v="0"/>
    <x v="3"/>
    <n v="37"/>
    <n v="8"/>
    <x v="2"/>
    <x v="7"/>
    <x v="2"/>
    <n v="35585.765235019375"/>
    <x v="0"/>
    <x v="4"/>
  </r>
  <r>
    <x v="196"/>
    <x v="1"/>
    <d v="1993-06-02T00:00:00"/>
    <d v="2012-02-22T00:00:00"/>
    <s v="Niv.3"/>
    <x v="1"/>
    <x v="0"/>
    <x v="0"/>
    <x v="1"/>
    <x v="2"/>
    <x v="7"/>
    <x v="0"/>
    <x v="0"/>
    <x v="0"/>
    <n v="1"/>
    <x v="0"/>
    <x v="0"/>
    <x v="1"/>
    <n v="28"/>
    <n v="32920"/>
    <n v="18078.426723453955"/>
    <n v="250"/>
    <n v="1"/>
    <x v="0"/>
    <x v="0"/>
    <n v="0"/>
    <x v="3"/>
    <n v="27"/>
    <n v="8"/>
    <x v="3"/>
    <x v="7"/>
    <x v="2"/>
    <n v="36116.948722056019"/>
    <x v="0"/>
    <x v="4"/>
  </r>
  <r>
    <x v="197"/>
    <x v="0"/>
    <d v="1993-11-24T00:00:00"/>
    <d v="2012-03-02T00:00:00"/>
    <s v="Niv.7"/>
    <x v="0"/>
    <x v="1"/>
    <x v="0"/>
    <x v="0"/>
    <x v="3"/>
    <x v="0"/>
    <x v="0"/>
    <x v="2"/>
    <x v="0"/>
    <n v="1"/>
    <x v="0"/>
    <x v="3"/>
    <x v="1"/>
    <n v="14"/>
    <n v="14320"/>
    <n v="46671.203665014938"/>
    <n v="250"/>
    <n v="1"/>
    <x v="0"/>
    <x v="1"/>
    <n v="0"/>
    <x v="3"/>
    <n v="26"/>
    <n v="8"/>
    <x v="3"/>
    <x v="7"/>
    <x v="1"/>
    <n v="18328.426723453955"/>
    <x v="0"/>
    <x v="4"/>
  </r>
  <r>
    <x v="198"/>
    <x v="1"/>
    <d v="1975-07-07T00:00:00"/>
    <d v="2012-05-08T00:00:00"/>
    <s v="Niv.7"/>
    <x v="1"/>
    <x v="2"/>
    <x v="0"/>
    <x v="0"/>
    <x v="0"/>
    <x v="0"/>
    <x v="0"/>
    <x v="0"/>
    <x v="0"/>
    <n v="1"/>
    <x v="0"/>
    <x v="1"/>
    <x v="0"/>
    <n v="7"/>
    <n v="46600"/>
    <n v="61257.913039472201"/>
    <n v="500"/>
    <n v="0"/>
    <x v="1"/>
    <x v="1"/>
    <n v="0"/>
    <x v="3"/>
    <n v="45"/>
    <n v="8"/>
    <x v="1"/>
    <x v="7"/>
    <x v="2"/>
    <n v="47171.203665014938"/>
    <x v="0"/>
    <x v="4"/>
  </r>
  <r>
    <x v="199"/>
    <x v="0"/>
    <d v="1996-11-12T00:00:00"/>
    <d v="2012-08-08T00:00:00"/>
    <s v="Niv.3"/>
    <x v="1"/>
    <x v="3"/>
    <x v="1"/>
    <x v="0"/>
    <x v="0"/>
    <x v="0"/>
    <x v="0"/>
    <x v="0"/>
    <x v="0"/>
    <n v="1"/>
    <x v="0"/>
    <x v="1"/>
    <x v="1"/>
    <n v="0"/>
    <n v="53800"/>
    <n v="14966.646053739798"/>
    <n v="250"/>
    <n v="1"/>
    <x v="1"/>
    <x v="1"/>
    <n v="0"/>
    <x v="3"/>
    <n v="23"/>
    <n v="8"/>
    <x v="3"/>
    <x v="7"/>
    <x v="2"/>
    <n v="61507.913039472201"/>
    <x v="1"/>
    <x v="4"/>
  </r>
  <r>
    <x v="200"/>
    <x v="1"/>
    <d v="1994-10-27T00:00:00"/>
    <d v="2012-08-14T00:00:00"/>
    <s v="Niv.3"/>
    <x v="0"/>
    <x v="4"/>
    <x v="2"/>
    <x v="1"/>
    <x v="2"/>
    <x v="8"/>
    <x v="0"/>
    <x v="0"/>
    <x v="0"/>
    <n v="1"/>
    <x v="0"/>
    <x v="4"/>
    <x v="1"/>
    <n v="0"/>
    <n v="12400"/>
    <n v="60375.927003436787"/>
    <n v="250"/>
    <n v="1"/>
    <x v="0"/>
    <x v="1"/>
    <n v="0"/>
    <x v="3"/>
    <n v="25"/>
    <n v="8"/>
    <x v="3"/>
    <x v="7"/>
    <x v="3"/>
    <n v="15216.646053739798"/>
    <x v="2"/>
    <x v="4"/>
  </r>
  <r>
    <x v="201"/>
    <x v="1"/>
    <d v="1984-12-28T00:00:00"/>
    <d v="2012-09-27T00:00:00"/>
    <s v="Niv.6"/>
    <x v="0"/>
    <x v="4"/>
    <x v="1"/>
    <x v="1"/>
    <x v="2"/>
    <x v="9"/>
    <x v="0"/>
    <x v="1"/>
    <x v="0"/>
    <n v="0.8"/>
    <x v="1"/>
    <x v="2"/>
    <x v="0"/>
    <n v="0"/>
    <n v="63400"/>
    <n v="31074.922590084563"/>
    <n v="250"/>
    <n v="0"/>
    <x v="0"/>
    <x v="1"/>
    <n v="0"/>
    <x v="3"/>
    <n v="35"/>
    <n v="7"/>
    <x v="2"/>
    <x v="7"/>
    <x v="2"/>
    <n v="72701.112404124142"/>
    <x v="1"/>
    <x v="4"/>
  </r>
  <r>
    <x v="202"/>
    <x v="0"/>
    <d v="1962-07-17T00:00:00"/>
    <d v="2012-10-14T00:00:00"/>
    <s v="Niv.3"/>
    <x v="0"/>
    <x v="0"/>
    <x v="2"/>
    <x v="0"/>
    <x v="0"/>
    <x v="0"/>
    <x v="0"/>
    <x v="0"/>
    <x v="1"/>
    <n v="0.8"/>
    <x v="1"/>
    <x v="2"/>
    <x v="0"/>
    <n v="0"/>
    <n v="37240"/>
    <n v="30421.485326617185"/>
    <n v="500"/>
    <n v="0"/>
    <x v="1"/>
    <x v="1"/>
    <n v="0"/>
    <x v="3"/>
    <n v="58"/>
    <n v="7"/>
    <x v="0"/>
    <x v="7"/>
    <x v="2"/>
    <n v="37789.907108101477"/>
    <x v="2"/>
    <x v="4"/>
  </r>
  <r>
    <x v="203"/>
    <x v="0"/>
    <d v="1978-03-28T00:00:00"/>
    <d v="2012-10-18T00:00:00"/>
    <s v="Niv.3"/>
    <x v="1"/>
    <x v="4"/>
    <x v="0"/>
    <x v="0"/>
    <x v="0"/>
    <x v="0"/>
    <x v="0"/>
    <x v="1"/>
    <x v="1"/>
    <n v="1"/>
    <x v="1"/>
    <x v="3"/>
    <x v="1"/>
    <n v="14"/>
    <n v="31840"/>
    <n v="12623.752744412501"/>
    <n v="250"/>
    <n v="1"/>
    <x v="0"/>
    <x v="0"/>
    <n v="0"/>
    <x v="3"/>
    <n v="42"/>
    <n v="7"/>
    <x v="1"/>
    <x v="7"/>
    <x v="2"/>
    <n v="30671.485326617185"/>
    <x v="0"/>
    <x v="4"/>
  </r>
  <r>
    <x v="204"/>
    <x v="0"/>
    <d v="1988-05-17T00:00:00"/>
    <d v="2012-10-30T00:00:00"/>
    <s v="Niv.3"/>
    <x v="0"/>
    <x v="1"/>
    <x v="0"/>
    <x v="0"/>
    <x v="0"/>
    <x v="0"/>
    <x v="0"/>
    <x v="0"/>
    <x v="1"/>
    <n v="1"/>
    <x v="1"/>
    <x v="3"/>
    <x v="1"/>
    <n v="14"/>
    <n v="10720"/>
    <n v="31945.148853956838"/>
    <n v="250"/>
    <n v="1"/>
    <x v="0"/>
    <x v="1"/>
    <n v="0"/>
    <x v="3"/>
    <n v="32"/>
    <n v="7"/>
    <x v="2"/>
    <x v="7"/>
    <x v="3"/>
    <n v="12873.752744412501"/>
    <x v="0"/>
    <x v="4"/>
  </r>
  <r>
    <x v="205"/>
    <x v="0"/>
    <d v="1986-08-26T00:00:00"/>
    <d v="2012-11-11T00:00:00"/>
    <s v="Niv.6"/>
    <x v="0"/>
    <x v="2"/>
    <x v="2"/>
    <x v="0"/>
    <x v="0"/>
    <x v="3"/>
    <x v="0"/>
    <x v="0"/>
    <x v="1"/>
    <n v="0.5"/>
    <x v="1"/>
    <x v="1"/>
    <x v="0"/>
    <n v="0"/>
    <n v="26800"/>
    <n v="16119.789856479762"/>
    <n v="250"/>
    <n v="0"/>
    <x v="1"/>
    <x v="1"/>
    <n v="0"/>
    <x v="3"/>
    <n v="34"/>
    <n v="7"/>
    <x v="2"/>
    <x v="7"/>
    <x v="2"/>
    <n v="48167.723280935257"/>
    <x v="2"/>
    <x v="4"/>
  </r>
  <r>
    <x v="206"/>
    <x v="0"/>
    <d v="1987-01-04T00:00:00"/>
    <d v="2012-11-26T00:00:00"/>
    <s v="Niv.5"/>
    <x v="0"/>
    <x v="3"/>
    <x v="2"/>
    <x v="0"/>
    <x v="0"/>
    <x v="4"/>
    <x v="0"/>
    <x v="0"/>
    <x v="1"/>
    <n v="0.8"/>
    <x v="1"/>
    <x v="1"/>
    <x v="0"/>
    <n v="0"/>
    <n v="16000"/>
    <n v="46799.381113835698"/>
    <n v="250"/>
    <n v="0"/>
    <x v="1"/>
    <x v="1"/>
    <n v="0"/>
    <x v="3"/>
    <n v="33"/>
    <n v="7"/>
    <x v="2"/>
    <x v="7"/>
    <x v="1"/>
    <n v="19593.747827775715"/>
    <x v="2"/>
    <x v="4"/>
  </r>
  <r>
    <x v="207"/>
    <x v="0"/>
    <d v="1964-09-10T00:00:00"/>
    <d v="2012-12-17T00:00:00"/>
    <s v="Niv.3"/>
    <x v="0"/>
    <x v="4"/>
    <x v="1"/>
    <x v="0"/>
    <x v="0"/>
    <x v="0"/>
    <x v="0"/>
    <x v="0"/>
    <x v="1"/>
    <n v="0.8"/>
    <x v="1"/>
    <x v="3"/>
    <x v="1"/>
    <n v="21"/>
    <n v="47200"/>
    <n v="46969.329868438814"/>
    <n v="250"/>
    <n v="1"/>
    <x v="0"/>
    <x v="1"/>
    <n v="0"/>
    <x v="3"/>
    <n v="55"/>
    <n v="7"/>
    <x v="0"/>
    <x v="7"/>
    <x v="2"/>
    <n v="56409.257336602837"/>
    <x v="1"/>
    <x v="4"/>
  </r>
  <r>
    <x v="208"/>
    <x v="1"/>
    <d v="1985-06-04T00:00:00"/>
    <d v="2012-12-19T00:00:00"/>
    <s v="Niv.3"/>
    <x v="1"/>
    <x v="4"/>
    <x v="1"/>
    <x v="0"/>
    <x v="3"/>
    <x v="0"/>
    <x v="0"/>
    <x v="0"/>
    <x v="1"/>
    <n v="0.8"/>
    <x v="1"/>
    <x v="5"/>
    <x v="0"/>
    <n v="0"/>
    <n v="40000"/>
    <n v="30976.765468004931"/>
    <n v="250"/>
    <n v="0"/>
    <x v="1"/>
    <x v="1"/>
    <n v="0"/>
    <x v="3"/>
    <n v="35"/>
    <n v="7"/>
    <x v="2"/>
    <x v="7"/>
    <x v="2"/>
    <n v="56613.195842126574"/>
    <x v="1"/>
    <x v="4"/>
  </r>
  <r>
    <x v="209"/>
    <x v="0"/>
    <d v="1989-06-11T00:00:00"/>
    <d v="2012-12-25T00:00:00"/>
    <s v="Niv.3"/>
    <x v="1"/>
    <x v="0"/>
    <x v="1"/>
    <x v="2"/>
    <x v="1"/>
    <x v="5"/>
    <x v="0"/>
    <x v="0"/>
    <x v="1"/>
    <n v="0.8"/>
    <x v="0"/>
    <x v="0"/>
    <x v="1"/>
    <n v="7"/>
    <n v="36880"/>
    <n v="52605.998578252838"/>
    <n v="250"/>
    <n v="1"/>
    <x v="0"/>
    <x v="0"/>
    <n v="0"/>
    <x v="3"/>
    <n v="31"/>
    <n v="7"/>
    <x v="2"/>
    <x v="7"/>
    <x v="2"/>
    <n v="37422.118561605916"/>
    <x v="1"/>
    <x v="4"/>
  </r>
  <r>
    <x v="210"/>
    <x v="0"/>
    <d v="1977-08-25T00:00:00"/>
    <d v="2013-01-23T00:00:00"/>
    <s v="Niv.4"/>
    <x v="0"/>
    <x v="1"/>
    <x v="1"/>
    <x v="0"/>
    <x v="3"/>
    <x v="0"/>
    <x v="0"/>
    <x v="0"/>
    <x v="0"/>
    <n v="0.5"/>
    <x v="0"/>
    <x v="2"/>
    <x v="0"/>
    <n v="7"/>
    <n v="64000"/>
    <n v="46333.881914424732"/>
    <n v="250"/>
    <n v="0"/>
    <x v="0"/>
    <x v="0"/>
    <n v="0"/>
    <x v="3"/>
    <n v="43"/>
    <n v="7"/>
    <x v="1"/>
    <x v="7"/>
    <x v="2"/>
    <n v="79158.99786737925"/>
    <x v="1"/>
    <x v="4"/>
  </r>
  <r>
    <x v="211"/>
    <x v="0"/>
    <d v="1995-03-17T00:00:00"/>
    <d v="2013-02-11T00:00:00"/>
    <s v="Niv.7"/>
    <x v="0"/>
    <x v="2"/>
    <x v="1"/>
    <x v="0"/>
    <x v="3"/>
    <x v="0"/>
    <x v="0"/>
    <x v="0"/>
    <x v="0"/>
    <n v="0.8"/>
    <x v="0"/>
    <x v="3"/>
    <x v="1"/>
    <n v="14"/>
    <n v="47920"/>
    <n v="17727.997319887167"/>
    <n v="500"/>
    <n v="1"/>
    <x v="0"/>
    <x v="1"/>
    <n v="1"/>
    <x v="3"/>
    <n v="25"/>
    <n v="7"/>
    <x v="3"/>
    <x v="7"/>
    <x v="2"/>
    <n v="56100.658297309674"/>
    <x v="1"/>
    <x v="4"/>
  </r>
  <r>
    <x v="212"/>
    <x v="0"/>
    <d v="1991-10-02T00:00:00"/>
    <d v="2013-02-18T00:00:00"/>
    <s v="Niv.3"/>
    <x v="1"/>
    <x v="3"/>
    <x v="0"/>
    <x v="1"/>
    <x v="2"/>
    <x v="7"/>
    <x v="0"/>
    <x v="0"/>
    <x v="1"/>
    <n v="0.8"/>
    <x v="1"/>
    <x v="1"/>
    <x v="0"/>
    <n v="7"/>
    <n v="17200"/>
    <n v="41924.283295994217"/>
    <n v="250"/>
    <n v="0"/>
    <x v="1"/>
    <x v="0"/>
    <n v="1"/>
    <x v="3"/>
    <n v="28"/>
    <n v="7"/>
    <x v="3"/>
    <x v="7"/>
    <x v="4"/>
    <n v="21523.596783864599"/>
    <x v="0"/>
    <x v="4"/>
  </r>
  <r>
    <x v="213"/>
    <x v="0"/>
    <d v="1991-06-24T00:00:00"/>
    <d v="2013-04-27T00:00:00"/>
    <s v="Niv.3"/>
    <x v="0"/>
    <x v="1"/>
    <x v="0"/>
    <x v="0"/>
    <x v="3"/>
    <x v="4"/>
    <x v="0"/>
    <x v="0"/>
    <x v="1"/>
    <n v="1"/>
    <x v="1"/>
    <x v="2"/>
    <x v="0"/>
    <n v="7"/>
    <n v="37360"/>
    <n v="26156.023906499271"/>
    <n v="500"/>
    <n v="0"/>
    <x v="0"/>
    <x v="1"/>
    <n v="1"/>
    <x v="4"/>
    <n v="29"/>
    <n v="7"/>
    <x v="3"/>
    <x v="7"/>
    <x v="2"/>
    <n v="42424.283295994217"/>
    <x v="0"/>
    <x v="4"/>
  </r>
  <r>
    <x v="214"/>
    <x v="0"/>
    <d v="1997-08-28T00:00:00"/>
    <d v="2013-05-23T00:00:00"/>
    <s v="Niv.7"/>
    <x v="0"/>
    <x v="2"/>
    <x v="0"/>
    <x v="0"/>
    <x v="3"/>
    <x v="0"/>
    <x v="0"/>
    <x v="0"/>
    <x v="0"/>
    <n v="1"/>
    <x v="0"/>
    <x v="0"/>
    <x v="1"/>
    <n v="7"/>
    <n v="25720"/>
    <n v="9589.3240835680372"/>
    <n v="250"/>
    <n v="1"/>
    <x v="0"/>
    <x v="0"/>
    <n v="0"/>
    <x v="4"/>
    <n v="23"/>
    <n v="7"/>
    <x v="3"/>
    <x v="7"/>
    <x v="2"/>
    <n v="26406.023906499271"/>
    <x v="0"/>
    <x v="4"/>
  </r>
  <r>
    <x v="215"/>
    <x v="0"/>
    <d v="1964-08-12T00:00:00"/>
    <d v="2013-05-27T00:00:00"/>
    <s v="Niv.3"/>
    <x v="0"/>
    <x v="4"/>
    <x v="0"/>
    <x v="0"/>
    <x v="3"/>
    <x v="0"/>
    <x v="0"/>
    <x v="1"/>
    <x v="1"/>
    <n v="1"/>
    <x v="1"/>
    <x v="3"/>
    <x v="1"/>
    <n v="7"/>
    <n v="11200"/>
    <n v="16901.70308779904"/>
    <n v="250"/>
    <n v="1"/>
    <x v="0"/>
    <x v="0"/>
    <n v="0"/>
    <x v="4"/>
    <n v="56"/>
    <n v="7"/>
    <x v="0"/>
    <x v="7"/>
    <x v="3"/>
    <n v="9839.3240835680372"/>
    <x v="0"/>
    <x v="4"/>
  </r>
  <r>
    <x v="216"/>
    <x v="0"/>
    <d v="1972-09-03T00:00:00"/>
    <d v="2013-06-07T00:00:00"/>
    <s v="Niv.3"/>
    <x v="1"/>
    <x v="4"/>
    <x v="0"/>
    <x v="1"/>
    <x v="2"/>
    <x v="7"/>
    <x v="0"/>
    <x v="0"/>
    <x v="0"/>
    <n v="1"/>
    <x v="0"/>
    <x v="0"/>
    <x v="1"/>
    <n v="28"/>
    <n v="16720"/>
    <n v="39335.705749000866"/>
    <n v="250"/>
    <n v="1"/>
    <x v="0"/>
    <x v="0"/>
    <n v="0"/>
    <x v="4"/>
    <n v="47"/>
    <n v="7"/>
    <x v="1"/>
    <x v="7"/>
    <x v="1"/>
    <n v="17151.70308779904"/>
    <x v="0"/>
    <x v="4"/>
  </r>
  <r>
    <x v="217"/>
    <x v="0"/>
    <d v="1967-08-21T00:00:00"/>
    <d v="2013-06-09T00:00:00"/>
    <s v="Niv.6"/>
    <x v="0"/>
    <x v="4"/>
    <x v="0"/>
    <x v="0"/>
    <x v="3"/>
    <x v="0"/>
    <x v="0"/>
    <x v="2"/>
    <x v="0"/>
    <n v="1"/>
    <x v="0"/>
    <x v="3"/>
    <x v="1"/>
    <n v="14"/>
    <n v="35440"/>
    <n v="17663.602358845863"/>
    <n v="250"/>
    <n v="1"/>
    <x v="0"/>
    <x v="1"/>
    <n v="0"/>
    <x v="4"/>
    <n v="53"/>
    <n v="7"/>
    <x v="0"/>
    <x v="7"/>
    <x v="2"/>
    <n v="39585.705749000866"/>
    <x v="0"/>
    <x v="4"/>
  </r>
  <r>
    <x v="218"/>
    <x v="0"/>
    <d v="1995-07-24T00:00:00"/>
    <d v="2013-08-11T00:00:00"/>
    <s v="Niv.7"/>
    <x v="1"/>
    <x v="3"/>
    <x v="0"/>
    <x v="0"/>
    <x v="0"/>
    <x v="0"/>
    <x v="0"/>
    <x v="0"/>
    <x v="0"/>
    <n v="1"/>
    <x v="0"/>
    <x v="1"/>
    <x v="0"/>
    <n v="7"/>
    <n v="20080"/>
    <n v="7870.7744944180031"/>
    <n v="250"/>
    <n v="0"/>
    <x v="1"/>
    <x v="1"/>
    <n v="0"/>
    <x v="4"/>
    <n v="25"/>
    <n v="7"/>
    <x v="3"/>
    <x v="7"/>
    <x v="0"/>
    <n v="17913.602358845863"/>
    <x v="0"/>
    <x v="4"/>
  </r>
  <r>
    <x v="219"/>
    <x v="0"/>
    <d v="1984-04-28T00:00:00"/>
    <d v="2013-08-30T00:00:00"/>
    <s v="Niv.3"/>
    <x v="1"/>
    <x v="0"/>
    <x v="0"/>
    <x v="0"/>
    <x v="0"/>
    <x v="0"/>
    <x v="0"/>
    <x v="0"/>
    <x v="0"/>
    <n v="1"/>
    <x v="0"/>
    <x v="1"/>
    <x v="0"/>
    <n v="0"/>
    <n v="10960"/>
    <n v="15337.539787358197"/>
    <n v="100"/>
    <n v="0"/>
    <x v="1"/>
    <x v="1"/>
    <n v="0"/>
    <x v="4"/>
    <n v="36"/>
    <n v="7"/>
    <x v="2"/>
    <x v="7"/>
    <x v="3"/>
    <n v="7970.7744944180031"/>
    <x v="0"/>
    <x v="4"/>
  </r>
  <r>
    <x v="220"/>
    <x v="0"/>
    <d v="1994-06-28T00:00:00"/>
    <d v="2013-11-03T00:00:00"/>
    <s v="Niv.3"/>
    <x v="0"/>
    <x v="1"/>
    <x v="0"/>
    <x v="1"/>
    <x v="2"/>
    <x v="7"/>
    <x v="0"/>
    <x v="0"/>
    <x v="1"/>
    <n v="1"/>
    <x v="0"/>
    <x v="4"/>
    <x v="1"/>
    <n v="0"/>
    <n v="14800"/>
    <n v="25043.769958438315"/>
    <n v="100"/>
    <n v="1"/>
    <x v="0"/>
    <x v="1"/>
    <n v="0"/>
    <x v="4"/>
    <n v="26"/>
    <n v="6"/>
    <x v="3"/>
    <x v="7"/>
    <x v="1"/>
    <n v="15437.539787358197"/>
    <x v="0"/>
    <x v="4"/>
  </r>
  <r>
    <x v="221"/>
    <x v="1"/>
    <d v="1976-04-29T00:00:00"/>
    <d v="2013-11-04T00:00:00"/>
    <s v="Niv.6"/>
    <x v="0"/>
    <x v="2"/>
    <x v="0"/>
    <x v="1"/>
    <x v="2"/>
    <x v="6"/>
    <x v="0"/>
    <x v="1"/>
    <x v="0"/>
    <n v="0.8"/>
    <x v="1"/>
    <x v="5"/>
    <x v="0"/>
    <n v="0"/>
    <n v="30760"/>
    <n v="22400.245119768166"/>
    <n v="250"/>
    <n v="0"/>
    <x v="0"/>
    <x v="1"/>
    <n v="0"/>
    <x v="4"/>
    <n v="44"/>
    <n v="6"/>
    <x v="1"/>
    <x v="7"/>
    <x v="2"/>
    <n v="30302.523950125978"/>
    <x v="0"/>
    <x v="4"/>
  </r>
  <r>
    <x v="222"/>
    <x v="1"/>
    <d v="1982-06-09T00:00:00"/>
    <d v="2013-11-22T00:00:00"/>
    <s v="Niv.3"/>
    <x v="0"/>
    <x v="3"/>
    <x v="0"/>
    <x v="0"/>
    <x v="0"/>
    <x v="0"/>
    <x v="0"/>
    <x v="0"/>
    <x v="1"/>
    <n v="0.8"/>
    <x v="1"/>
    <x v="5"/>
    <x v="0"/>
    <n v="0"/>
    <n v="20320"/>
    <n v="33280.696126502342"/>
    <n v="500"/>
    <n v="0"/>
    <x v="1"/>
    <x v="1"/>
    <n v="0"/>
    <x v="4"/>
    <n v="38"/>
    <n v="6"/>
    <x v="2"/>
    <x v="7"/>
    <x v="0"/>
    <n v="27380.2941437218"/>
    <x v="0"/>
    <x v="4"/>
  </r>
  <r>
    <x v="223"/>
    <x v="0"/>
    <d v="1994-06-08T00:00:00"/>
    <d v="2013-11-23T00:00:00"/>
    <s v="Niv.3"/>
    <x v="1"/>
    <x v="4"/>
    <x v="1"/>
    <x v="0"/>
    <x v="0"/>
    <x v="0"/>
    <x v="0"/>
    <x v="1"/>
    <x v="1"/>
    <n v="1"/>
    <x v="1"/>
    <x v="2"/>
    <x v="0"/>
    <n v="14"/>
    <n v="30760"/>
    <n v="24337.593439781922"/>
    <n v="250"/>
    <n v="0"/>
    <x v="0"/>
    <x v="0"/>
    <n v="0"/>
    <x v="4"/>
    <n v="26"/>
    <n v="6"/>
    <x v="3"/>
    <x v="7"/>
    <x v="2"/>
    <n v="33530.696126502342"/>
    <x v="1"/>
    <x v="4"/>
  </r>
  <r>
    <x v="224"/>
    <x v="0"/>
    <d v="1977-01-15T00:00:00"/>
    <d v="2013-12-12T00:00:00"/>
    <s v="Niv.3"/>
    <x v="0"/>
    <x v="4"/>
    <x v="0"/>
    <x v="0"/>
    <x v="0"/>
    <x v="0"/>
    <x v="0"/>
    <x v="0"/>
    <x v="1"/>
    <n v="1"/>
    <x v="1"/>
    <x v="3"/>
    <x v="1"/>
    <n v="14"/>
    <n v="22000"/>
    <n v="19430.668181131787"/>
    <n v="250"/>
    <n v="1"/>
    <x v="0"/>
    <x v="1"/>
    <n v="0"/>
    <x v="4"/>
    <n v="43"/>
    <n v="6"/>
    <x v="1"/>
    <x v="7"/>
    <x v="0"/>
    <n v="24587.593439781922"/>
    <x v="0"/>
    <x v="4"/>
  </r>
  <r>
    <x v="23"/>
    <x v="0"/>
    <d v="1989-08-17T00:00:00"/>
    <d v="2013-12-16T00:00:00"/>
    <s v="Niv.6"/>
    <x v="0"/>
    <x v="4"/>
    <x v="0"/>
    <x v="0"/>
    <x v="0"/>
    <x v="3"/>
    <x v="0"/>
    <x v="0"/>
    <x v="1"/>
    <n v="0.5"/>
    <x v="1"/>
    <x v="1"/>
    <x v="0"/>
    <n v="0"/>
    <n v="17200"/>
    <n v="65239.797824614652"/>
    <n v="250"/>
    <n v="0"/>
    <x v="1"/>
    <x v="1"/>
    <n v="0"/>
    <x v="4"/>
    <n v="31"/>
    <n v="6"/>
    <x v="2"/>
    <x v="7"/>
    <x v="4"/>
    <n v="29396.002271697682"/>
    <x v="0"/>
    <x v="4"/>
  </r>
  <r>
    <x v="225"/>
    <x v="1"/>
    <d v="1992-04-04T00:00:00"/>
    <d v="2014-01-05T00:00:00"/>
    <s v="Niv.7"/>
    <x v="0"/>
    <x v="0"/>
    <x v="0"/>
    <x v="0"/>
    <x v="0"/>
    <x v="4"/>
    <x v="0"/>
    <x v="0"/>
    <x v="1"/>
    <n v="1"/>
    <x v="1"/>
    <x v="1"/>
    <x v="0"/>
    <n v="0"/>
    <n v="61000"/>
    <n v="16355.195562830715"/>
    <n v="250"/>
    <n v="0"/>
    <x v="1"/>
    <x v="1"/>
    <n v="0"/>
    <x v="4"/>
    <n v="28"/>
    <n v="6"/>
    <x v="3"/>
    <x v="7"/>
    <x v="2"/>
    <n v="65489.797824614652"/>
    <x v="0"/>
    <x v="4"/>
  </r>
  <r>
    <x v="226"/>
    <x v="0"/>
    <d v="1981-06-01T00:00:00"/>
    <d v="2014-01-09T00:00:00"/>
    <s v="Niv.3"/>
    <x v="0"/>
    <x v="1"/>
    <x v="0"/>
    <x v="0"/>
    <x v="0"/>
    <x v="0"/>
    <x v="0"/>
    <x v="0"/>
    <x v="1"/>
    <n v="0.8"/>
    <x v="1"/>
    <x v="2"/>
    <x v="1"/>
    <n v="21"/>
    <n v="19120"/>
    <n v="28553.368070922246"/>
    <n v="250"/>
    <n v="1"/>
    <x v="0"/>
    <x v="1"/>
    <n v="0"/>
    <x v="4"/>
    <n v="39"/>
    <n v="6"/>
    <x v="1"/>
    <x v="7"/>
    <x v="4"/>
    <n v="19876.234675396856"/>
    <x v="0"/>
    <x v="4"/>
  </r>
  <r>
    <x v="227"/>
    <x v="1"/>
    <d v="1960-08-02T00:00:00"/>
    <d v="2014-01-25T00:00:00"/>
    <s v="Niv.3"/>
    <x v="1"/>
    <x v="2"/>
    <x v="2"/>
    <x v="0"/>
    <x v="3"/>
    <x v="0"/>
    <x v="0"/>
    <x v="0"/>
    <x v="1"/>
    <n v="0.8"/>
    <x v="1"/>
    <x v="5"/>
    <x v="0"/>
    <n v="0"/>
    <n v="34360"/>
    <n v="44152.783778367717"/>
    <n v="250"/>
    <n v="0"/>
    <x v="1"/>
    <x v="1"/>
    <n v="0"/>
    <x v="4"/>
    <n v="60"/>
    <n v="6"/>
    <x v="0"/>
    <x v="7"/>
    <x v="2"/>
    <n v="34514.041685106691"/>
    <x v="2"/>
    <x v="4"/>
  </r>
  <r>
    <x v="228"/>
    <x v="0"/>
    <d v="1983-01-20T00:00:00"/>
    <d v="2014-01-27T00:00:00"/>
    <s v="Niv.3"/>
    <x v="1"/>
    <x v="3"/>
    <x v="0"/>
    <x v="0"/>
    <x v="3"/>
    <x v="0"/>
    <x v="0"/>
    <x v="0"/>
    <x v="0"/>
    <n v="0.8"/>
    <x v="0"/>
    <x v="2"/>
    <x v="0"/>
    <n v="7"/>
    <n v="51280"/>
    <n v="19841.042579528996"/>
    <n v="100"/>
    <n v="0"/>
    <x v="0"/>
    <x v="0"/>
    <n v="0"/>
    <x v="4"/>
    <n v="37"/>
    <n v="6"/>
    <x v="2"/>
    <x v="7"/>
    <x v="2"/>
    <n v="53083.340534041257"/>
    <x v="0"/>
    <x v="4"/>
  </r>
  <r>
    <x v="229"/>
    <x v="0"/>
    <d v="1996-08-22T00:00:00"/>
    <d v="2014-02-21T00:00:00"/>
    <s v="Niv.4"/>
    <x v="0"/>
    <x v="4"/>
    <x v="0"/>
    <x v="0"/>
    <x v="3"/>
    <x v="0"/>
    <x v="0"/>
    <x v="0"/>
    <x v="0"/>
    <n v="0.5"/>
    <x v="0"/>
    <x v="2"/>
    <x v="0"/>
    <n v="7"/>
    <n v="24280"/>
    <n v="8959.0759426308414"/>
    <n v="250"/>
    <n v="0"/>
    <x v="0"/>
    <x v="0"/>
    <n v="0"/>
    <x v="4"/>
    <n v="24"/>
    <n v="6"/>
    <x v="3"/>
    <x v="7"/>
    <x v="2"/>
    <n v="30011.563869293495"/>
    <x v="0"/>
    <x v="4"/>
  </r>
  <r>
    <x v="230"/>
    <x v="1"/>
    <d v="1996-09-08T00:00:00"/>
    <d v="2014-03-12T00:00:00"/>
    <s v="Niv.7"/>
    <x v="0"/>
    <x v="4"/>
    <x v="0"/>
    <x v="1"/>
    <x v="2"/>
    <x v="10"/>
    <x v="0"/>
    <x v="0"/>
    <x v="1"/>
    <n v="1"/>
    <x v="0"/>
    <x v="3"/>
    <x v="1"/>
    <n v="14"/>
    <n v="10960"/>
    <n v="37366.457711833384"/>
    <n v="250"/>
    <n v="1"/>
    <x v="0"/>
    <x v="1"/>
    <n v="0"/>
    <x v="4"/>
    <n v="23"/>
    <n v="6"/>
    <x v="3"/>
    <x v="7"/>
    <x v="3"/>
    <n v="9209.0759426308414"/>
    <x v="0"/>
    <x v="4"/>
  </r>
  <r>
    <x v="231"/>
    <x v="0"/>
    <d v="1998-05-22T00:00:00"/>
    <d v="2014-03-18T00:00:00"/>
    <s v="Niv.3"/>
    <x v="1"/>
    <x v="0"/>
    <x v="0"/>
    <x v="0"/>
    <x v="3"/>
    <x v="11"/>
    <x v="0"/>
    <x v="0"/>
    <x v="0"/>
    <n v="0.8"/>
    <x v="1"/>
    <x v="1"/>
    <x v="1"/>
    <n v="7"/>
    <n v="41800"/>
    <n v="18301.102004723507"/>
    <n v="250"/>
    <n v="1"/>
    <x v="1"/>
    <x v="0"/>
    <n v="0"/>
    <x v="4"/>
    <n v="22"/>
    <n v="6"/>
    <x v="3"/>
    <x v="7"/>
    <x v="2"/>
    <n v="45089.749254200062"/>
    <x v="0"/>
    <x v="4"/>
  </r>
  <r>
    <x v="232"/>
    <x v="1"/>
    <d v="1962-04-01T00:00:00"/>
    <d v="2014-08-17T00:00:00"/>
    <s v="Niv.3"/>
    <x v="2"/>
    <x v="4"/>
    <x v="1"/>
    <x v="0"/>
    <x v="3"/>
    <x v="0"/>
    <x v="0"/>
    <x v="0"/>
    <x v="0"/>
    <n v="1"/>
    <x v="1"/>
    <x v="2"/>
    <x v="0"/>
    <n v="7"/>
    <n v="18400"/>
    <n v="16403.52478845045"/>
    <n v="250"/>
    <n v="0"/>
    <x v="0"/>
    <x v="1"/>
    <n v="1"/>
    <x v="4"/>
    <n v="58"/>
    <n v="6"/>
    <x v="0"/>
    <x v="7"/>
    <x v="4"/>
    <n v="18551.102004723507"/>
    <x v="1"/>
    <x v="4"/>
  </r>
  <r>
    <x v="233"/>
    <x v="0"/>
    <d v="1979-08-29T00:00:00"/>
    <d v="2014-08-26T00:00:00"/>
    <s v="Niv.3"/>
    <x v="0"/>
    <x v="1"/>
    <x v="2"/>
    <x v="0"/>
    <x v="3"/>
    <x v="0"/>
    <x v="0"/>
    <x v="1"/>
    <x v="1"/>
    <n v="1"/>
    <x v="0"/>
    <x v="2"/>
    <x v="0"/>
    <n v="7"/>
    <n v="20320"/>
    <n v="25490.715815212352"/>
    <n v="500"/>
    <n v="0"/>
    <x v="0"/>
    <x v="0"/>
    <n v="1"/>
    <x v="4"/>
    <n v="41"/>
    <n v="6"/>
    <x v="1"/>
    <x v="7"/>
    <x v="0"/>
    <n v="16903.52478845045"/>
    <x v="2"/>
    <x v="4"/>
  </r>
  <r>
    <x v="234"/>
    <x v="1"/>
    <d v="1964-02-24T00:00:00"/>
    <d v="2014-09-04T00:00:00"/>
    <s v="Niv.3"/>
    <x v="2"/>
    <x v="2"/>
    <x v="1"/>
    <x v="1"/>
    <x v="2"/>
    <x v="7"/>
    <x v="0"/>
    <x v="0"/>
    <x v="0"/>
    <n v="1"/>
    <x v="1"/>
    <x v="3"/>
    <x v="1"/>
    <n v="7"/>
    <n v="21760"/>
    <n v="19351.693647972817"/>
    <n v="250"/>
    <n v="1"/>
    <x v="0"/>
    <x v="0"/>
    <n v="0"/>
    <x v="4"/>
    <n v="56"/>
    <n v="5"/>
    <x v="0"/>
    <x v="7"/>
    <x v="0"/>
    <n v="25740.715815212352"/>
    <x v="1"/>
    <x v="4"/>
  </r>
  <r>
    <x v="235"/>
    <x v="1"/>
    <d v="1987-01-19T00:00:00"/>
    <d v="2014-09-05T00:00:00"/>
    <s v="Niv.7"/>
    <x v="2"/>
    <x v="3"/>
    <x v="2"/>
    <x v="0"/>
    <x v="3"/>
    <x v="0"/>
    <x v="0"/>
    <x v="2"/>
    <x v="0"/>
    <n v="1"/>
    <x v="0"/>
    <x v="3"/>
    <x v="1"/>
    <n v="28"/>
    <n v="24280"/>
    <n v="40705.97371992001"/>
    <n v="250"/>
    <n v="1"/>
    <x v="0"/>
    <x v="0"/>
    <n v="0"/>
    <x v="4"/>
    <n v="33"/>
    <n v="5"/>
    <x v="2"/>
    <x v="7"/>
    <x v="2"/>
    <n v="19601.693647972817"/>
    <x v="2"/>
    <x v="4"/>
  </r>
  <r>
    <x v="236"/>
    <x v="1"/>
    <d v="1995-01-30T00:00:00"/>
    <d v="2014-09-14T00:00:00"/>
    <s v="Niv.5"/>
    <x v="2"/>
    <x v="4"/>
    <x v="0"/>
    <x v="0"/>
    <x v="0"/>
    <x v="0"/>
    <x v="0"/>
    <x v="0"/>
    <x v="0"/>
    <n v="1"/>
    <x v="0"/>
    <x v="3"/>
    <x v="1"/>
    <n v="14"/>
    <n v="36400"/>
    <n v="21482.696396953514"/>
    <n v="250"/>
    <n v="1"/>
    <x v="0"/>
    <x v="1"/>
    <n v="0"/>
    <x v="4"/>
    <n v="25"/>
    <n v="5"/>
    <x v="3"/>
    <x v="7"/>
    <x v="2"/>
    <n v="40955.97371992001"/>
    <x v="0"/>
    <x v="4"/>
  </r>
  <r>
    <x v="237"/>
    <x v="0"/>
    <d v="1974-06-04T00:00:00"/>
    <d v="2014-10-13T00:00:00"/>
    <s v="Niv.3"/>
    <x v="1"/>
    <x v="4"/>
    <x v="0"/>
    <x v="0"/>
    <x v="0"/>
    <x v="0"/>
    <x v="0"/>
    <x v="0"/>
    <x v="0"/>
    <n v="1"/>
    <x v="0"/>
    <x v="1"/>
    <x v="0"/>
    <n v="7"/>
    <n v="19600"/>
    <n v="55231.13249129249"/>
    <n v="500"/>
    <n v="0"/>
    <x v="1"/>
    <x v="1"/>
    <n v="0"/>
    <x v="4"/>
    <n v="46"/>
    <n v="5"/>
    <x v="1"/>
    <x v="7"/>
    <x v="4"/>
    <n v="21982.696396953514"/>
    <x v="0"/>
    <x v="4"/>
  </r>
  <r>
    <x v="238"/>
    <x v="0"/>
    <d v="1984-02-07T00:00:00"/>
    <d v="2014-11-05T00:00:00"/>
    <s v="Niv.3"/>
    <x v="1"/>
    <x v="0"/>
    <x v="2"/>
    <x v="1"/>
    <x v="2"/>
    <x v="12"/>
    <x v="0"/>
    <x v="0"/>
    <x v="0"/>
    <n v="1"/>
    <x v="0"/>
    <x v="1"/>
    <x v="1"/>
    <n v="0"/>
    <n v="49840"/>
    <n v="28565.104428200088"/>
    <n v="500"/>
    <n v="1"/>
    <x v="1"/>
    <x v="1"/>
    <n v="0"/>
    <x v="4"/>
    <n v="36"/>
    <n v="5"/>
    <x v="2"/>
    <x v="7"/>
    <x v="2"/>
    <n v="55731.13249129249"/>
    <x v="2"/>
    <x v="4"/>
  </r>
  <r>
    <x v="239"/>
    <x v="0"/>
    <d v="1991-05-07T00:00:00"/>
    <d v="2014-11-12T00:00:00"/>
    <s v="Niv.6"/>
    <x v="0"/>
    <x v="0"/>
    <x v="0"/>
    <x v="0"/>
    <x v="0"/>
    <x v="0"/>
    <x v="0"/>
    <x v="0"/>
    <x v="0"/>
    <n v="0.8"/>
    <x v="1"/>
    <x v="5"/>
    <x v="0"/>
    <n v="0"/>
    <n v="25000"/>
    <n v="22153.990747239281"/>
    <n v="250"/>
    <n v="0"/>
    <x v="0"/>
    <x v="1"/>
    <n v="0"/>
    <x v="4"/>
    <n v="29"/>
    <n v="5"/>
    <x v="3"/>
    <x v="7"/>
    <x v="2"/>
    <n v="34528.125313840101"/>
    <x v="0"/>
    <x v="4"/>
  </r>
  <r>
    <x v="240"/>
    <x v="0"/>
    <d v="1995-07-03T00:00:00"/>
    <d v="2015-01-01T00:00:00"/>
    <s v="Niv.3"/>
    <x v="0"/>
    <x v="1"/>
    <x v="0"/>
    <x v="1"/>
    <x v="2"/>
    <x v="1"/>
    <x v="0"/>
    <x v="0"/>
    <x v="0"/>
    <n v="0.8"/>
    <x v="1"/>
    <x v="5"/>
    <x v="0"/>
    <n v="0"/>
    <n v="22720"/>
    <n v="29615.722811342021"/>
    <n v="250"/>
    <n v="0"/>
    <x v="1"/>
    <x v="1"/>
    <n v="0"/>
    <x v="4"/>
    <n v="25"/>
    <n v="5"/>
    <x v="3"/>
    <x v="7"/>
    <x v="0"/>
    <n v="26834.788896687136"/>
    <x v="0"/>
    <x v="4"/>
  </r>
  <r>
    <x v="241"/>
    <x v="0"/>
    <d v="1998-06-04T00:00:00"/>
    <d v="2015-01-09T00:00:00"/>
    <s v="Niv.3"/>
    <x v="0"/>
    <x v="2"/>
    <x v="0"/>
    <x v="1"/>
    <x v="2"/>
    <x v="2"/>
    <x v="0"/>
    <x v="1"/>
    <x v="0"/>
    <n v="1"/>
    <x v="1"/>
    <x v="2"/>
    <x v="0"/>
    <n v="14"/>
    <n v="34720"/>
    <n v="63297.413159511823"/>
    <n v="250"/>
    <n v="0"/>
    <x v="0"/>
    <x v="0"/>
    <n v="0"/>
    <x v="4"/>
    <n v="22"/>
    <n v="5"/>
    <x v="3"/>
    <x v="7"/>
    <x v="2"/>
    <n v="29865.722811342021"/>
    <x v="0"/>
    <x v="4"/>
  </r>
  <r>
    <x v="242"/>
    <x v="0"/>
    <d v="1991-03-18T00:00:00"/>
    <d v="2015-01-15T00:00:00"/>
    <s v="Niv.3"/>
    <x v="1"/>
    <x v="3"/>
    <x v="0"/>
    <x v="0"/>
    <x v="0"/>
    <x v="0"/>
    <x v="0"/>
    <x v="0"/>
    <x v="1"/>
    <n v="0.8"/>
    <x v="1"/>
    <x v="2"/>
    <x v="0"/>
    <n v="14"/>
    <n v="61000"/>
    <n v="34396.47936039092"/>
    <n v="250"/>
    <n v="0"/>
    <x v="0"/>
    <x v="1"/>
    <n v="0"/>
    <x v="4"/>
    <n v="29"/>
    <n v="5"/>
    <x v="3"/>
    <x v="7"/>
    <x v="2"/>
    <n v="76206.895791414179"/>
    <x v="0"/>
    <x v="4"/>
  </r>
  <r>
    <x v="243"/>
    <x v="0"/>
    <d v="1965-08-29T00:00:00"/>
    <d v="2015-02-05T00:00:00"/>
    <s v="Niv.6"/>
    <x v="0"/>
    <x v="1"/>
    <x v="0"/>
    <x v="0"/>
    <x v="0"/>
    <x v="0"/>
    <x v="0"/>
    <x v="1"/>
    <x v="1"/>
    <n v="0.5"/>
    <x v="1"/>
    <x v="1"/>
    <x v="0"/>
    <n v="0"/>
    <n v="28600"/>
    <n v="31455.664534208503"/>
    <n v="250"/>
    <n v="0"/>
    <x v="1"/>
    <x v="1"/>
    <n v="0"/>
    <x v="4"/>
    <n v="55"/>
    <n v="5"/>
    <x v="0"/>
    <x v="7"/>
    <x v="2"/>
    <n v="51844.71904058638"/>
    <x v="0"/>
    <x v="4"/>
  </r>
  <r>
    <x v="244"/>
    <x v="0"/>
    <d v="1999-01-05T00:00:00"/>
    <d v="2015-02-16T00:00:00"/>
    <s v="Niv.3"/>
    <x v="0"/>
    <x v="2"/>
    <x v="0"/>
    <x v="0"/>
    <x v="0"/>
    <x v="0"/>
    <x v="0"/>
    <x v="0"/>
    <x v="1"/>
    <n v="1"/>
    <x v="1"/>
    <x v="1"/>
    <x v="0"/>
    <n v="0"/>
    <n v="37840"/>
    <n v="25871.461468719062"/>
    <n v="100"/>
    <n v="0"/>
    <x v="1"/>
    <x v="1"/>
    <n v="0"/>
    <x v="4"/>
    <n v="21"/>
    <n v="5"/>
    <x v="3"/>
    <x v="7"/>
    <x v="2"/>
    <n v="31555.664534208503"/>
    <x v="0"/>
    <x v="4"/>
  </r>
  <r>
    <x v="245"/>
    <x v="1"/>
    <d v="1976-10-29T00:00:00"/>
    <d v="2015-03-11T00:00:00"/>
    <s v="Niv.7"/>
    <x v="2"/>
    <x v="4"/>
    <x v="0"/>
    <x v="0"/>
    <x v="0"/>
    <x v="3"/>
    <x v="0"/>
    <x v="0"/>
    <x v="1"/>
    <n v="0.8"/>
    <x v="1"/>
    <x v="2"/>
    <x v="1"/>
    <n v="21"/>
    <n v="23440"/>
    <n v="35783.501524842031"/>
    <n v="250"/>
    <n v="1"/>
    <x v="0"/>
    <x v="1"/>
    <n v="0"/>
    <x v="4"/>
    <n v="43"/>
    <n v="5"/>
    <x v="1"/>
    <x v="7"/>
    <x v="2"/>
    <n v="31295.753762462875"/>
    <x v="0"/>
    <x v="4"/>
  </r>
  <r>
    <x v="246"/>
    <x v="0"/>
    <d v="1999-05-10T00:00:00"/>
    <d v="2015-04-04T00:00:00"/>
    <s v="Niv.6"/>
    <x v="0"/>
    <x v="4"/>
    <x v="0"/>
    <x v="0"/>
    <x v="0"/>
    <x v="4"/>
    <x v="0"/>
    <x v="0"/>
    <x v="1"/>
    <n v="0.8"/>
    <x v="1"/>
    <x v="5"/>
    <x v="0"/>
    <n v="0"/>
    <n v="37240"/>
    <n v="47150.209801328267"/>
    <n v="100"/>
    <n v="0"/>
    <x v="1"/>
    <x v="1"/>
    <n v="0"/>
    <x v="4"/>
    <n v="21"/>
    <n v="5"/>
    <x v="3"/>
    <x v="7"/>
    <x v="2"/>
    <n v="43040.201829810438"/>
    <x v="0"/>
    <x v="4"/>
  </r>
  <r>
    <x v="247"/>
    <x v="0"/>
    <d v="1983-10-02T00:00:00"/>
    <d v="2015-04-06T00:00:00"/>
    <s v="Niv.3"/>
    <x v="1"/>
    <x v="4"/>
    <x v="0"/>
    <x v="0"/>
    <x v="0"/>
    <x v="0"/>
    <x v="0"/>
    <x v="0"/>
    <x v="1"/>
    <n v="0.8"/>
    <x v="0"/>
    <x v="0"/>
    <x v="1"/>
    <n v="7"/>
    <n v="43000"/>
    <n v="58284.15753012606"/>
    <n v="250"/>
    <n v="1"/>
    <x v="0"/>
    <x v="0"/>
    <n v="0"/>
    <x v="4"/>
    <n v="36"/>
    <n v="5"/>
    <x v="2"/>
    <x v="7"/>
    <x v="2"/>
    <n v="56830.251761593921"/>
    <x v="0"/>
    <x v="4"/>
  </r>
  <r>
    <x v="248"/>
    <x v="1"/>
    <d v="1997-06-01T00:00:00"/>
    <d v="2015-05-16T00:00:00"/>
    <s v="Niv.3"/>
    <x v="2"/>
    <x v="3"/>
    <x v="0"/>
    <x v="0"/>
    <x v="3"/>
    <x v="0"/>
    <x v="0"/>
    <x v="0"/>
    <x v="1"/>
    <n v="0.5"/>
    <x v="0"/>
    <x v="2"/>
    <x v="0"/>
    <n v="7"/>
    <n v="57400"/>
    <n v="22153.990747239281"/>
    <n v="250"/>
    <n v="0"/>
    <x v="0"/>
    <x v="0"/>
    <n v="0"/>
    <x v="4"/>
    <n v="23"/>
    <n v="5"/>
    <x v="3"/>
    <x v="7"/>
    <x v="2"/>
    <n v="87676.236295189097"/>
    <x v="0"/>
    <x v="4"/>
  </r>
  <r>
    <x v="249"/>
    <x v="1"/>
    <d v="1998-06-27T00:00:00"/>
    <d v="2015-06-28T00:00:00"/>
    <s v="Niv.3"/>
    <x v="2"/>
    <x v="0"/>
    <x v="1"/>
    <x v="2"/>
    <x v="4"/>
    <x v="5"/>
    <x v="0"/>
    <x v="0"/>
    <x v="1"/>
    <n v="0.8"/>
    <x v="0"/>
    <x v="0"/>
    <x v="1"/>
    <n v="14"/>
    <n v="22720"/>
    <n v="18441.716916400987"/>
    <n v="250"/>
    <n v="1"/>
    <x v="0"/>
    <x v="1"/>
    <n v="0"/>
    <x v="4"/>
    <n v="22"/>
    <n v="5"/>
    <x v="3"/>
    <x v="7"/>
    <x v="0"/>
    <n v="26834.788896687136"/>
    <x v="1"/>
    <x v="4"/>
  </r>
  <r>
    <x v="250"/>
    <x v="1"/>
    <d v="1987-08-01T00:00:00"/>
    <d v="2015-07-05T00:00:00"/>
    <s v="Niv.4"/>
    <x v="2"/>
    <x v="1"/>
    <x v="0"/>
    <x v="0"/>
    <x v="3"/>
    <x v="0"/>
    <x v="0"/>
    <x v="0"/>
    <x v="0"/>
    <n v="0.5"/>
    <x v="0"/>
    <x v="0"/>
    <x v="0"/>
    <n v="7"/>
    <n v="22240"/>
    <n v="15301.473660819251"/>
    <n v="100"/>
    <n v="0"/>
    <x v="0"/>
    <x v="0"/>
    <n v="0"/>
    <x v="4"/>
    <n v="33"/>
    <n v="5"/>
    <x v="2"/>
    <x v="7"/>
    <x v="0"/>
    <n v="27762.575374601482"/>
    <x v="0"/>
    <x v="4"/>
  </r>
  <r>
    <x v="251"/>
    <x v="0"/>
    <d v="1962-04-27T00:00:00"/>
    <d v="2015-07-30T00:00:00"/>
    <s v="Niv.7"/>
    <x v="1"/>
    <x v="2"/>
    <x v="0"/>
    <x v="0"/>
    <x v="3"/>
    <x v="0"/>
    <x v="0"/>
    <x v="0"/>
    <x v="0"/>
    <n v="0.8"/>
    <x v="0"/>
    <x v="0"/>
    <x v="0"/>
    <n v="14"/>
    <n v="20320"/>
    <n v="12191.418489269836"/>
    <n v="250"/>
    <n v="0"/>
    <x v="0"/>
    <x v="1"/>
    <n v="0"/>
    <x v="4"/>
    <n v="58"/>
    <n v="5"/>
    <x v="0"/>
    <x v="7"/>
    <x v="0"/>
    <n v="18611.7683929831"/>
    <x v="0"/>
    <x v="4"/>
  </r>
  <r>
    <x v="252"/>
    <x v="1"/>
    <d v="1998-10-23T00:00:00"/>
    <d v="2015-08-01T00:00:00"/>
    <s v="Niv.3"/>
    <x v="2"/>
    <x v="3"/>
    <x v="0"/>
    <x v="1"/>
    <x v="2"/>
    <x v="6"/>
    <x v="0"/>
    <x v="0"/>
    <x v="1"/>
    <n v="0.8"/>
    <x v="1"/>
    <x v="1"/>
    <x v="0"/>
    <n v="7"/>
    <n v="14320"/>
    <n v="21896.184838227273"/>
    <n v="250"/>
    <n v="1"/>
    <x v="1"/>
    <x v="0"/>
    <n v="0"/>
    <x v="4"/>
    <n v="21"/>
    <n v="5"/>
    <x v="3"/>
    <x v="7"/>
    <x v="1"/>
    <n v="14879.702187123803"/>
    <x v="0"/>
    <x v="4"/>
  </r>
  <r>
    <x v="253"/>
    <x v="0"/>
    <d v="2000-04-11T00:00:00"/>
    <d v="2015-08-03T00:00:00"/>
    <s v="Niv.3"/>
    <x v="0"/>
    <x v="4"/>
    <x v="0"/>
    <x v="0"/>
    <x v="3"/>
    <x v="4"/>
    <x v="0"/>
    <x v="0"/>
    <x v="1"/>
    <n v="1"/>
    <x v="1"/>
    <x v="2"/>
    <x v="0"/>
    <n v="7"/>
    <n v="25000"/>
    <n v="44066.416583509075"/>
    <n v="250"/>
    <n v="0"/>
    <x v="0"/>
    <x v="1"/>
    <n v="0"/>
    <x v="4"/>
    <n v="20"/>
    <n v="5"/>
    <x v="3"/>
    <x v="7"/>
    <x v="2"/>
    <n v="22146.184838227273"/>
    <x v="0"/>
    <x v="4"/>
  </r>
  <r>
    <x v="254"/>
    <x v="1"/>
    <d v="1996-01-28T00:00:00"/>
    <d v="2015-09-28T00:00:00"/>
    <s v="Niv.7"/>
    <x v="2"/>
    <x v="4"/>
    <x v="1"/>
    <x v="0"/>
    <x v="3"/>
    <x v="0"/>
    <x v="0"/>
    <x v="0"/>
    <x v="0"/>
    <n v="1"/>
    <x v="0"/>
    <x v="2"/>
    <x v="1"/>
    <n v="7"/>
    <n v="47920"/>
    <n v="35335.765235019375"/>
    <n v="100"/>
    <n v="0"/>
    <x v="0"/>
    <x v="0"/>
    <n v="0"/>
    <x v="4"/>
    <n v="24"/>
    <n v="4"/>
    <x v="3"/>
    <x v="7"/>
    <x v="2"/>
    <n v="44166.416583509075"/>
    <x v="1"/>
    <x v="4"/>
  </r>
  <r>
    <x v="255"/>
    <x v="1"/>
    <d v="1994-06-10T00:00:00"/>
    <d v="2015-10-01T00:00:00"/>
    <s v="Niv.3"/>
    <x v="2"/>
    <x v="4"/>
    <x v="0"/>
    <x v="0"/>
    <x v="3"/>
    <x v="0"/>
    <x v="0"/>
    <x v="1"/>
    <x v="0"/>
    <n v="1"/>
    <x v="1"/>
    <x v="3"/>
    <x v="1"/>
    <n v="7"/>
    <n v="35080"/>
    <n v="35866.948722056019"/>
    <n v="250"/>
    <n v="1"/>
    <x v="0"/>
    <x v="0"/>
    <n v="0"/>
    <x v="4"/>
    <n v="26"/>
    <n v="4"/>
    <x v="3"/>
    <x v="7"/>
    <x v="2"/>
    <n v="35585.765235019375"/>
    <x v="0"/>
    <x v="4"/>
  </r>
  <r>
    <x v="256"/>
    <x v="0"/>
    <d v="1969-12-17T00:00:00"/>
    <d v="2015-10-27T00:00:00"/>
    <s v="Niv.3"/>
    <x v="0"/>
    <x v="0"/>
    <x v="0"/>
    <x v="1"/>
    <x v="2"/>
    <x v="7"/>
    <x v="0"/>
    <x v="0"/>
    <x v="0"/>
    <n v="1"/>
    <x v="0"/>
    <x v="0"/>
    <x v="1"/>
    <n v="28"/>
    <n v="32920"/>
    <n v="18078.426723453955"/>
    <n v="250"/>
    <n v="1"/>
    <x v="0"/>
    <x v="0"/>
    <n v="0"/>
    <x v="4"/>
    <n v="50"/>
    <n v="4"/>
    <x v="0"/>
    <x v="7"/>
    <x v="2"/>
    <n v="36116.948722056019"/>
    <x v="0"/>
    <x v="4"/>
  </r>
  <r>
    <x v="257"/>
    <x v="1"/>
    <d v="1995-12-16T00:00:00"/>
    <d v="2015-12-01T00:00:00"/>
    <s v="Niv.7"/>
    <x v="2"/>
    <x v="1"/>
    <x v="0"/>
    <x v="0"/>
    <x v="3"/>
    <x v="0"/>
    <x v="0"/>
    <x v="2"/>
    <x v="0"/>
    <n v="1"/>
    <x v="0"/>
    <x v="3"/>
    <x v="1"/>
    <n v="14"/>
    <n v="14320"/>
    <n v="46671.203665014938"/>
    <n v="250"/>
    <n v="1"/>
    <x v="0"/>
    <x v="1"/>
    <n v="0"/>
    <x v="5"/>
    <n v="24"/>
    <n v="4"/>
    <x v="3"/>
    <x v="7"/>
    <x v="1"/>
    <n v="18328.426723453955"/>
    <x v="0"/>
    <x v="4"/>
  </r>
  <r>
    <x v="258"/>
    <x v="1"/>
    <d v="1990-05-14T00:00:00"/>
    <d v="2015-12-04T00:00:00"/>
    <s v="Niv.7"/>
    <x v="2"/>
    <x v="2"/>
    <x v="0"/>
    <x v="0"/>
    <x v="0"/>
    <x v="0"/>
    <x v="0"/>
    <x v="0"/>
    <x v="0"/>
    <n v="1"/>
    <x v="0"/>
    <x v="1"/>
    <x v="0"/>
    <n v="7"/>
    <n v="46600"/>
    <n v="61257.913039472201"/>
    <n v="500"/>
    <n v="0"/>
    <x v="1"/>
    <x v="1"/>
    <n v="0"/>
    <x v="5"/>
    <n v="30"/>
    <n v="4"/>
    <x v="2"/>
    <x v="7"/>
    <x v="2"/>
    <n v="47171.203665014938"/>
    <x v="0"/>
    <x v="4"/>
  </r>
  <r>
    <x v="259"/>
    <x v="0"/>
    <d v="1998-09-20T00:00:00"/>
    <d v="2015-12-27T00:00:00"/>
    <s v="Niv.3"/>
    <x v="0"/>
    <x v="3"/>
    <x v="1"/>
    <x v="0"/>
    <x v="0"/>
    <x v="0"/>
    <x v="0"/>
    <x v="0"/>
    <x v="0"/>
    <n v="1"/>
    <x v="0"/>
    <x v="1"/>
    <x v="1"/>
    <n v="0"/>
    <n v="53800"/>
    <n v="14966.646053739798"/>
    <n v="250"/>
    <n v="1"/>
    <x v="1"/>
    <x v="1"/>
    <n v="0"/>
    <x v="5"/>
    <n v="21"/>
    <n v="4"/>
    <x v="3"/>
    <x v="7"/>
    <x v="2"/>
    <n v="61507.913039472201"/>
    <x v="1"/>
    <x v="4"/>
  </r>
  <r>
    <x v="260"/>
    <x v="0"/>
    <d v="2000-06-28T00:00:00"/>
    <d v="2015-12-30T00:00:00"/>
    <s v="Niv.3"/>
    <x v="0"/>
    <x v="4"/>
    <x v="2"/>
    <x v="1"/>
    <x v="2"/>
    <x v="8"/>
    <x v="0"/>
    <x v="0"/>
    <x v="0"/>
    <n v="1"/>
    <x v="0"/>
    <x v="4"/>
    <x v="1"/>
    <n v="0"/>
    <n v="12400"/>
    <n v="60375.927003436787"/>
    <n v="250"/>
    <n v="1"/>
    <x v="0"/>
    <x v="1"/>
    <n v="0"/>
    <x v="5"/>
    <n v="20"/>
    <n v="4"/>
    <x v="3"/>
    <x v="7"/>
    <x v="3"/>
    <n v="15216.646053739798"/>
    <x v="2"/>
    <x v="4"/>
  </r>
  <r>
    <x v="261"/>
    <x v="0"/>
    <d v="1987-12-09T00:00:00"/>
    <d v="2016-01-17T00:00:00"/>
    <s v="Niv.6"/>
    <x v="0"/>
    <x v="4"/>
    <x v="1"/>
    <x v="1"/>
    <x v="2"/>
    <x v="9"/>
    <x v="0"/>
    <x v="1"/>
    <x v="0"/>
    <n v="0.8"/>
    <x v="1"/>
    <x v="2"/>
    <x v="0"/>
    <n v="0"/>
    <n v="63400"/>
    <n v="31074.922590084563"/>
    <n v="250"/>
    <n v="0"/>
    <x v="0"/>
    <x v="1"/>
    <n v="0"/>
    <x v="5"/>
    <n v="32"/>
    <n v="4"/>
    <x v="2"/>
    <x v="7"/>
    <x v="2"/>
    <n v="72701.112404124142"/>
    <x v="1"/>
    <x v="4"/>
  </r>
  <r>
    <x v="262"/>
    <x v="0"/>
    <d v="2000-09-24T00:00:00"/>
    <d v="2016-01-25T00:00:00"/>
    <s v="Niv.3"/>
    <x v="1"/>
    <x v="0"/>
    <x v="2"/>
    <x v="0"/>
    <x v="0"/>
    <x v="0"/>
    <x v="0"/>
    <x v="0"/>
    <x v="1"/>
    <n v="0.8"/>
    <x v="1"/>
    <x v="2"/>
    <x v="0"/>
    <n v="0"/>
    <n v="37240"/>
    <n v="30421.485326617185"/>
    <n v="500"/>
    <n v="0"/>
    <x v="1"/>
    <x v="1"/>
    <n v="0"/>
    <x v="5"/>
    <n v="19"/>
    <n v="4"/>
    <x v="3"/>
    <x v="7"/>
    <x v="2"/>
    <n v="37789.907108101477"/>
    <x v="2"/>
    <x v="4"/>
  </r>
  <r>
    <x v="263"/>
    <x v="1"/>
    <d v="1999-11-04T00:00:00"/>
    <d v="2016-01-31T00:00:00"/>
    <s v="Niv.3"/>
    <x v="2"/>
    <x v="4"/>
    <x v="0"/>
    <x v="0"/>
    <x v="0"/>
    <x v="0"/>
    <x v="0"/>
    <x v="1"/>
    <x v="1"/>
    <n v="1"/>
    <x v="1"/>
    <x v="3"/>
    <x v="1"/>
    <n v="14"/>
    <n v="31840"/>
    <n v="12623.752744412501"/>
    <n v="250"/>
    <n v="1"/>
    <x v="0"/>
    <x v="0"/>
    <n v="0"/>
    <x v="5"/>
    <n v="20"/>
    <n v="4"/>
    <x v="3"/>
    <x v="7"/>
    <x v="2"/>
    <n v="30671.485326617185"/>
    <x v="0"/>
    <x v="4"/>
  </r>
  <r>
    <x v="264"/>
    <x v="1"/>
    <d v="1991-02-16T00:00:00"/>
    <d v="2016-03-06T00:00:00"/>
    <s v="Niv.3"/>
    <x v="2"/>
    <x v="1"/>
    <x v="0"/>
    <x v="0"/>
    <x v="0"/>
    <x v="0"/>
    <x v="0"/>
    <x v="0"/>
    <x v="1"/>
    <n v="1"/>
    <x v="1"/>
    <x v="3"/>
    <x v="1"/>
    <n v="14"/>
    <n v="10720"/>
    <n v="31945.148853956838"/>
    <n v="250"/>
    <n v="1"/>
    <x v="0"/>
    <x v="1"/>
    <n v="0"/>
    <x v="5"/>
    <n v="29"/>
    <n v="4"/>
    <x v="3"/>
    <x v="7"/>
    <x v="3"/>
    <n v="12873.752744412501"/>
    <x v="0"/>
    <x v="4"/>
  </r>
  <r>
    <x v="265"/>
    <x v="0"/>
    <d v="1998-10-27T00:00:00"/>
    <d v="2016-03-07T00:00:00"/>
    <s v="Niv.6"/>
    <x v="0"/>
    <x v="2"/>
    <x v="2"/>
    <x v="0"/>
    <x v="0"/>
    <x v="3"/>
    <x v="0"/>
    <x v="0"/>
    <x v="1"/>
    <n v="0.5"/>
    <x v="1"/>
    <x v="1"/>
    <x v="0"/>
    <n v="0"/>
    <n v="26800"/>
    <n v="16119.789856479762"/>
    <n v="250"/>
    <n v="0"/>
    <x v="1"/>
    <x v="1"/>
    <n v="0"/>
    <x v="5"/>
    <n v="21"/>
    <n v="4"/>
    <x v="3"/>
    <x v="7"/>
    <x v="2"/>
    <n v="48167.723280935257"/>
    <x v="2"/>
    <x v="4"/>
  </r>
  <r>
    <x v="266"/>
    <x v="0"/>
    <d v="1994-08-03T00:00:00"/>
    <d v="2016-03-14T00:00:00"/>
    <s v="Niv.5"/>
    <x v="0"/>
    <x v="3"/>
    <x v="2"/>
    <x v="0"/>
    <x v="0"/>
    <x v="4"/>
    <x v="0"/>
    <x v="0"/>
    <x v="1"/>
    <n v="0.8"/>
    <x v="1"/>
    <x v="1"/>
    <x v="0"/>
    <n v="0"/>
    <n v="16000"/>
    <n v="46799.381113835698"/>
    <n v="250"/>
    <n v="0"/>
    <x v="1"/>
    <x v="1"/>
    <n v="0"/>
    <x v="5"/>
    <n v="26"/>
    <n v="4"/>
    <x v="3"/>
    <x v="7"/>
    <x v="1"/>
    <n v="19593.747827775715"/>
    <x v="2"/>
    <x v="4"/>
  </r>
  <r>
    <x v="267"/>
    <x v="1"/>
    <d v="1965-12-16T00:00:00"/>
    <d v="2016-04-24T00:00:00"/>
    <s v="Niv.3"/>
    <x v="2"/>
    <x v="4"/>
    <x v="1"/>
    <x v="0"/>
    <x v="0"/>
    <x v="0"/>
    <x v="0"/>
    <x v="0"/>
    <x v="1"/>
    <n v="0.8"/>
    <x v="1"/>
    <x v="3"/>
    <x v="1"/>
    <n v="21"/>
    <n v="47200"/>
    <n v="46969.329868438814"/>
    <n v="250"/>
    <n v="1"/>
    <x v="0"/>
    <x v="1"/>
    <n v="0"/>
    <x v="5"/>
    <n v="54"/>
    <n v="4"/>
    <x v="0"/>
    <x v="7"/>
    <x v="2"/>
    <n v="56409.257336602837"/>
    <x v="1"/>
    <x v="4"/>
  </r>
  <r>
    <x v="268"/>
    <x v="0"/>
    <d v="1992-07-08T00:00:00"/>
    <d v="2016-04-28T00:00:00"/>
    <s v="Niv.3"/>
    <x v="1"/>
    <x v="4"/>
    <x v="1"/>
    <x v="0"/>
    <x v="3"/>
    <x v="0"/>
    <x v="0"/>
    <x v="0"/>
    <x v="1"/>
    <n v="0.8"/>
    <x v="1"/>
    <x v="5"/>
    <x v="0"/>
    <n v="0"/>
    <n v="40000"/>
    <n v="30976.765468004931"/>
    <n v="250"/>
    <n v="0"/>
    <x v="1"/>
    <x v="1"/>
    <n v="0"/>
    <x v="5"/>
    <n v="28"/>
    <n v="4"/>
    <x v="3"/>
    <x v="7"/>
    <x v="2"/>
    <n v="56613.195842126574"/>
    <x v="1"/>
    <x v="4"/>
  </r>
  <r>
    <x v="269"/>
    <x v="1"/>
    <d v="1977-03-15T00:00:00"/>
    <d v="2016-05-17T00:00:00"/>
    <s v="Niv.3"/>
    <x v="2"/>
    <x v="0"/>
    <x v="1"/>
    <x v="2"/>
    <x v="1"/>
    <x v="5"/>
    <x v="0"/>
    <x v="0"/>
    <x v="1"/>
    <n v="0.8"/>
    <x v="0"/>
    <x v="0"/>
    <x v="1"/>
    <n v="7"/>
    <n v="36880"/>
    <n v="52605.998578252838"/>
    <n v="250"/>
    <n v="1"/>
    <x v="0"/>
    <x v="0"/>
    <n v="0"/>
    <x v="5"/>
    <n v="43"/>
    <n v="4"/>
    <x v="1"/>
    <x v="7"/>
    <x v="2"/>
    <n v="37422.118561605916"/>
    <x v="1"/>
    <x v="4"/>
  </r>
  <r>
    <x v="270"/>
    <x v="1"/>
    <d v="1980-10-22T00:00:00"/>
    <d v="2016-05-18T00:00:00"/>
    <s v="Niv.4"/>
    <x v="2"/>
    <x v="1"/>
    <x v="1"/>
    <x v="0"/>
    <x v="3"/>
    <x v="0"/>
    <x v="0"/>
    <x v="0"/>
    <x v="0"/>
    <n v="0.5"/>
    <x v="0"/>
    <x v="2"/>
    <x v="0"/>
    <n v="7"/>
    <n v="64000"/>
    <n v="46333.881914424732"/>
    <n v="250"/>
    <n v="0"/>
    <x v="0"/>
    <x v="0"/>
    <n v="0"/>
    <x v="5"/>
    <n v="39"/>
    <n v="4"/>
    <x v="1"/>
    <x v="7"/>
    <x v="2"/>
    <n v="79158.99786737925"/>
    <x v="1"/>
    <x v="4"/>
  </r>
  <r>
    <x v="271"/>
    <x v="1"/>
    <d v="1979-08-13T00:00:00"/>
    <d v="2016-05-30T00:00:00"/>
    <s v="Niv.7"/>
    <x v="2"/>
    <x v="2"/>
    <x v="1"/>
    <x v="0"/>
    <x v="3"/>
    <x v="0"/>
    <x v="0"/>
    <x v="0"/>
    <x v="0"/>
    <n v="0.8"/>
    <x v="0"/>
    <x v="3"/>
    <x v="1"/>
    <n v="14"/>
    <n v="47920"/>
    <n v="17727.997319887167"/>
    <n v="500"/>
    <n v="1"/>
    <x v="0"/>
    <x v="1"/>
    <n v="1"/>
    <x v="5"/>
    <n v="41"/>
    <n v="4"/>
    <x v="1"/>
    <x v="7"/>
    <x v="2"/>
    <n v="56100.658297309674"/>
    <x v="1"/>
    <x v="4"/>
  </r>
  <r>
    <x v="272"/>
    <x v="1"/>
    <d v="2000-01-09T00:00:00"/>
    <d v="2016-05-30T00:00:00"/>
    <s v="Niv.3"/>
    <x v="2"/>
    <x v="3"/>
    <x v="0"/>
    <x v="1"/>
    <x v="2"/>
    <x v="7"/>
    <x v="0"/>
    <x v="0"/>
    <x v="1"/>
    <n v="0.8"/>
    <x v="1"/>
    <x v="1"/>
    <x v="0"/>
    <n v="7"/>
    <n v="17200"/>
    <n v="41924.283295994217"/>
    <n v="250"/>
    <n v="0"/>
    <x v="1"/>
    <x v="0"/>
    <n v="1"/>
    <x v="5"/>
    <n v="20"/>
    <n v="4"/>
    <x v="3"/>
    <x v="7"/>
    <x v="4"/>
    <n v="21523.596783864599"/>
    <x v="0"/>
    <x v="4"/>
  </r>
  <r>
    <x v="273"/>
    <x v="0"/>
    <d v="1994-05-29T00:00:00"/>
    <d v="2016-05-31T00:00:00"/>
    <s v="Niv.3"/>
    <x v="0"/>
    <x v="1"/>
    <x v="0"/>
    <x v="0"/>
    <x v="3"/>
    <x v="4"/>
    <x v="0"/>
    <x v="0"/>
    <x v="1"/>
    <n v="1"/>
    <x v="1"/>
    <x v="2"/>
    <x v="0"/>
    <n v="7"/>
    <n v="37360"/>
    <n v="26156.023906499271"/>
    <n v="500"/>
    <n v="0"/>
    <x v="0"/>
    <x v="1"/>
    <n v="1"/>
    <x v="5"/>
    <n v="26"/>
    <n v="4"/>
    <x v="3"/>
    <x v="7"/>
    <x v="2"/>
    <n v="42424.283295994217"/>
    <x v="0"/>
    <x v="4"/>
  </r>
  <r>
    <x v="274"/>
    <x v="1"/>
    <d v="1998-06-16T00:00:00"/>
    <d v="2016-06-12T00:00:00"/>
    <s v="Niv.7"/>
    <x v="2"/>
    <x v="2"/>
    <x v="0"/>
    <x v="0"/>
    <x v="3"/>
    <x v="0"/>
    <x v="0"/>
    <x v="0"/>
    <x v="0"/>
    <n v="1"/>
    <x v="0"/>
    <x v="0"/>
    <x v="1"/>
    <n v="7"/>
    <n v="25720"/>
    <n v="9589.3240835680372"/>
    <n v="250"/>
    <n v="1"/>
    <x v="0"/>
    <x v="0"/>
    <n v="0"/>
    <x v="5"/>
    <n v="22"/>
    <n v="4"/>
    <x v="3"/>
    <x v="7"/>
    <x v="2"/>
    <n v="26406.023906499271"/>
    <x v="0"/>
    <x v="4"/>
  </r>
  <r>
    <x v="275"/>
    <x v="0"/>
    <d v="1999-04-30T00:00:00"/>
    <d v="2016-06-19T00:00:00"/>
    <s v="Niv.3"/>
    <x v="1"/>
    <x v="4"/>
    <x v="0"/>
    <x v="0"/>
    <x v="3"/>
    <x v="0"/>
    <x v="0"/>
    <x v="1"/>
    <x v="1"/>
    <n v="1"/>
    <x v="1"/>
    <x v="3"/>
    <x v="1"/>
    <n v="7"/>
    <n v="11200"/>
    <n v="16901.70308779904"/>
    <n v="250"/>
    <n v="1"/>
    <x v="0"/>
    <x v="0"/>
    <n v="0"/>
    <x v="5"/>
    <n v="21"/>
    <n v="4"/>
    <x v="3"/>
    <x v="7"/>
    <x v="3"/>
    <n v="9839.3240835680372"/>
    <x v="0"/>
    <x v="4"/>
  </r>
  <r>
    <x v="276"/>
    <x v="0"/>
    <d v="2001-04-13T00:00:00"/>
    <d v="2016-06-20T00:00:00"/>
    <s v="Niv.3"/>
    <x v="0"/>
    <x v="4"/>
    <x v="0"/>
    <x v="1"/>
    <x v="2"/>
    <x v="7"/>
    <x v="0"/>
    <x v="0"/>
    <x v="0"/>
    <n v="1"/>
    <x v="0"/>
    <x v="0"/>
    <x v="1"/>
    <n v="28"/>
    <n v="16720"/>
    <n v="39335.705749000866"/>
    <n v="250"/>
    <n v="1"/>
    <x v="0"/>
    <x v="0"/>
    <n v="0"/>
    <x v="5"/>
    <n v="19"/>
    <n v="4"/>
    <x v="3"/>
    <x v="7"/>
    <x v="1"/>
    <n v="17151.70308779904"/>
    <x v="0"/>
    <x v="4"/>
  </r>
  <r>
    <x v="277"/>
    <x v="1"/>
    <d v="2000-07-31T00:00:00"/>
    <d v="2016-06-23T00:00:00"/>
    <s v="Niv.3"/>
    <x v="2"/>
    <x v="4"/>
    <x v="0"/>
    <x v="0"/>
    <x v="3"/>
    <x v="0"/>
    <x v="0"/>
    <x v="2"/>
    <x v="0"/>
    <n v="1"/>
    <x v="0"/>
    <x v="3"/>
    <x v="1"/>
    <n v="14"/>
    <n v="35440"/>
    <n v="17663.602358845863"/>
    <n v="250"/>
    <n v="1"/>
    <x v="0"/>
    <x v="1"/>
    <n v="0"/>
    <x v="5"/>
    <n v="20"/>
    <n v="4"/>
    <x v="3"/>
    <x v="7"/>
    <x v="2"/>
    <n v="39585.705749000866"/>
    <x v="0"/>
    <x v="4"/>
  </r>
  <r>
    <x v="278"/>
    <x v="0"/>
    <d v="2001-06-25T00:00:00"/>
    <d v="2016-06-27T00:00:00"/>
    <s v="Niv.7"/>
    <x v="1"/>
    <x v="3"/>
    <x v="0"/>
    <x v="0"/>
    <x v="0"/>
    <x v="0"/>
    <x v="0"/>
    <x v="0"/>
    <x v="0"/>
    <n v="1"/>
    <x v="0"/>
    <x v="1"/>
    <x v="0"/>
    <n v="7"/>
    <n v="20080"/>
    <n v="7870.7744944180031"/>
    <n v="250"/>
    <n v="0"/>
    <x v="1"/>
    <x v="1"/>
    <n v="0"/>
    <x v="5"/>
    <n v="19"/>
    <n v="4"/>
    <x v="3"/>
    <x v="7"/>
    <x v="0"/>
    <n v="17913.602358845863"/>
    <x v="0"/>
    <x v="4"/>
  </r>
  <r>
    <x v="279"/>
    <x v="1"/>
    <d v="1998-08-29T00:00:00"/>
    <d v="2016-07-19T00:00:00"/>
    <s v="Niv.6"/>
    <x v="2"/>
    <x v="0"/>
    <x v="0"/>
    <x v="0"/>
    <x v="0"/>
    <x v="0"/>
    <x v="0"/>
    <x v="0"/>
    <x v="0"/>
    <n v="1"/>
    <x v="0"/>
    <x v="1"/>
    <x v="0"/>
    <n v="0"/>
    <n v="10960"/>
    <n v="15337.539787358197"/>
    <n v="100"/>
    <n v="0"/>
    <x v="1"/>
    <x v="1"/>
    <n v="0"/>
    <x v="5"/>
    <n v="22"/>
    <n v="4"/>
    <x v="3"/>
    <x v="7"/>
    <x v="3"/>
    <n v="7970.7744944180031"/>
    <x v="0"/>
    <x v="4"/>
  </r>
  <r>
    <x v="280"/>
    <x v="1"/>
    <d v="1974-06-10T00:00:00"/>
    <d v="2016-07-22T00:00:00"/>
    <s v="Niv.3"/>
    <x v="0"/>
    <x v="1"/>
    <x v="0"/>
    <x v="1"/>
    <x v="2"/>
    <x v="7"/>
    <x v="0"/>
    <x v="0"/>
    <x v="1"/>
    <n v="1"/>
    <x v="0"/>
    <x v="4"/>
    <x v="1"/>
    <n v="0"/>
    <n v="14800"/>
    <n v="25043.769958438315"/>
    <n v="100"/>
    <n v="1"/>
    <x v="0"/>
    <x v="1"/>
    <n v="0"/>
    <x v="5"/>
    <n v="46"/>
    <n v="4"/>
    <x v="1"/>
    <x v="7"/>
    <x v="1"/>
    <n v="15437.539787358197"/>
    <x v="0"/>
    <x v="4"/>
  </r>
  <r>
    <x v="281"/>
    <x v="0"/>
    <d v="1992-01-31T00:00:00"/>
    <d v="2016-07-30T00:00:00"/>
    <s v="Niv.3"/>
    <x v="0"/>
    <x v="2"/>
    <x v="0"/>
    <x v="1"/>
    <x v="2"/>
    <x v="6"/>
    <x v="0"/>
    <x v="1"/>
    <x v="0"/>
    <n v="0.8"/>
    <x v="1"/>
    <x v="5"/>
    <x v="0"/>
    <n v="0"/>
    <n v="30760"/>
    <n v="22400.245119768166"/>
    <n v="250"/>
    <n v="0"/>
    <x v="0"/>
    <x v="1"/>
    <n v="0"/>
    <x v="5"/>
    <n v="28"/>
    <n v="4"/>
    <x v="3"/>
    <x v="7"/>
    <x v="2"/>
    <n v="30302.523950125978"/>
    <x v="0"/>
    <x v="4"/>
  </r>
  <r>
    <x v="282"/>
    <x v="1"/>
    <d v="1995-04-28T00:00:00"/>
    <d v="2016-08-14T00:00:00"/>
    <s v="Niv.3"/>
    <x v="1"/>
    <x v="3"/>
    <x v="0"/>
    <x v="0"/>
    <x v="0"/>
    <x v="0"/>
    <x v="0"/>
    <x v="0"/>
    <x v="1"/>
    <n v="0.8"/>
    <x v="1"/>
    <x v="5"/>
    <x v="0"/>
    <n v="0"/>
    <n v="20320"/>
    <n v="33280.696126502342"/>
    <n v="500"/>
    <n v="0"/>
    <x v="1"/>
    <x v="1"/>
    <n v="0"/>
    <x v="5"/>
    <n v="25"/>
    <n v="4"/>
    <x v="3"/>
    <x v="7"/>
    <x v="0"/>
    <n v="27380.2941437218"/>
    <x v="0"/>
    <x v="4"/>
  </r>
  <r>
    <x v="283"/>
    <x v="1"/>
    <d v="2001-06-12T00:00:00"/>
    <d v="2016-08-17T00:00:00"/>
    <s v="Niv.4"/>
    <x v="0"/>
    <x v="4"/>
    <x v="1"/>
    <x v="0"/>
    <x v="0"/>
    <x v="0"/>
    <x v="0"/>
    <x v="1"/>
    <x v="1"/>
    <n v="1"/>
    <x v="1"/>
    <x v="2"/>
    <x v="0"/>
    <n v="14"/>
    <n v="30760"/>
    <n v="24337.593439781922"/>
    <n v="250"/>
    <n v="0"/>
    <x v="0"/>
    <x v="0"/>
    <n v="0"/>
    <x v="5"/>
    <n v="19"/>
    <n v="4"/>
    <x v="3"/>
    <x v="7"/>
    <x v="2"/>
    <n v="33530.696126502342"/>
    <x v="1"/>
    <x v="4"/>
  </r>
  <r>
    <x v="284"/>
    <x v="0"/>
    <d v="1998-10-06T00:00:00"/>
    <d v="2016-08-24T00:00:00"/>
    <s v="Niv.7"/>
    <x v="0"/>
    <x v="4"/>
    <x v="0"/>
    <x v="0"/>
    <x v="0"/>
    <x v="0"/>
    <x v="0"/>
    <x v="0"/>
    <x v="1"/>
    <n v="1"/>
    <x v="1"/>
    <x v="3"/>
    <x v="1"/>
    <n v="14"/>
    <n v="22000"/>
    <n v="19430.668181131787"/>
    <n v="250"/>
    <n v="1"/>
    <x v="0"/>
    <x v="1"/>
    <n v="0"/>
    <x v="5"/>
    <n v="21"/>
    <n v="4"/>
    <x v="3"/>
    <x v="7"/>
    <x v="0"/>
    <n v="24587.593439781922"/>
    <x v="0"/>
    <x v="4"/>
  </r>
  <r>
    <x v="285"/>
    <x v="0"/>
    <d v="1996-08-03T00:00:00"/>
    <d v="2016-09-22T00:00:00"/>
    <s v="Niv.3"/>
    <x v="0"/>
    <x v="4"/>
    <x v="0"/>
    <x v="0"/>
    <x v="0"/>
    <x v="3"/>
    <x v="0"/>
    <x v="0"/>
    <x v="1"/>
    <n v="0.5"/>
    <x v="1"/>
    <x v="1"/>
    <x v="0"/>
    <n v="0"/>
    <n v="17200"/>
    <n v="65239.797824614652"/>
    <n v="250"/>
    <n v="0"/>
    <x v="1"/>
    <x v="1"/>
    <n v="0"/>
    <x v="5"/>
    <n v="24"/>
    <n v="3"/>
    <x v="3"/>
    <x v="8"/>
    <x v="4"/>
    <n v="29396.002271697682"/>
    <x v="0"/>
    <x v="4"/>
  </r>
  <r>
    <x v="286"/>
    <x v="1"/>
    <d v="1982-07-01T00:00:00"/>
    <d v="2016-10-14T00:00:00"/>
    <s v="Niv.3"/>
    <x v="0"/>
    <x v="0"/>
    <x v="0"/>
    <x v="0"/>
    <x v="0"/>
    <x v="4"/>
    <x v="0"/>
    <x v="0"/>
    <x v="1"/>
    <n v="1"/>
    <x v="1"/>
    <x v="1"/>
    <x v="0"/>
    <n v="0"/>
    <n v="61000"/>
    <n v="16355.195562830715"/>
    <n v="250"/>
    <n v="0"/>
    <x v="1"/>
    <x v="1"/>
    <n v="0"/>
    <x v="5"/>
    <n v="38"/>
    <n v="3"/>
    <x v="2"/>
    <x v="8"/>
    <x v="2"/>
    <n v="65489.797824614652"/>
    <x v="0"/>
    <x v="4"/>
  </r>
  <r>
    <x v="287"/>
    <x v="1"/>
    <d v="1994-04-29T00:00:00"/>
    <d v="2016-10-31T00:00:00"/>
    <s v="Niv.7"/>
    <x v="1"/>
    <x v="1"/>
    <x v="0"/>
    <x v="0"/>
    <x v="0"/>
    <x v="0"/>
    <x v="0"/>
    <x v="0"/>
    <x v="1"/>
    <n v="0.8"/>
    <x v="1"/>
    <x v="2"/>
    <x v="1"/>
    <n v="21"/>
    <n v="19120"/>
    <n v="28553.368070922246"/>
    <n v="250"/>
    <n v="1"/>
    <x v="0"/>
    <x v="1"/>
    <n v="0"/>
    <x v="5"/>
    <n v="26"/>
    <n v="3"/>
    <x v="3"/>
    <x v="8"/>
    <x v="4"/>
    <n v="19876.234675396856"/>
    <x v="0"/>
    <x v="4"/>
  </r>
  <r>
    <x v="288"/>
    <x v="0"/>
    <d v="1971-07-01T00:00:00"/>
    <d v="2016-11-03T00:00:00"/>
    <s v="Niv.3"/>
    <x v="1"/>
    <x v="2"/>
    <x v="2"/>
    <x v="0"/>
    <x v="3"/>
    <x v="0"/>
    <x v="0"/>
    <x v="0"/>
    <x v="1"/>
    <n v="0.8"/>
    <x v="1"/>
    <x v="5"/>
    <x v="0"/>
    <n v="0"/>
    <n v="34360"/>
    <n v="44152.783778367717"/>
    <n v="250"/>
    <n v="0"/>
    <x v="1"/>
    <x v="1"/>
    <n v="0"/>
    <x v="5"/>
    <n v="49"/>
    <n v="3"/>
    <x v="0"/>
    <x v="8"/>
    <x v="2"/>
    <n v="34514.041685106691"/>
    <x v="2"/>
    <x v="4"/>
  </r>
  <r>
    <x v="289"/>
    <x v="0"/>
    <d v="1978-09-08T00:00:00"/>
    <d v="2016-11-17T00:00:00"/>
    <s v="Niv.3"/>
    <x v="0"/>
    <x v="3"/>
    <x v="0"/>
    <x v="0"/>
    <x v="3"/>
    <x v="0"/>
    <x v="0"/>
    <x v="0"/>
    <x v="0"/>
    <n v="0.8"/>
    <x v="0"/>
    <x v="2"/>
    <x v="0"/>
    <n v="7"/>
    <n v="51280"/>
    <n v="19841.042579528996"/>
    <n v="100"/>
    <n v="0"/>
    <x v="0"/>
    <x v="0"/>
    <n v="0"/>
    <x v="5"/>
    <n v="41"/>
    <n v="3"/>
    <x v="1"/>
    <x v="8"/>
    <x v="2"/>
    <n v="53083.340534041257"/>
    <x v="0"/>
    <x v="4"/>
  </r>
  <r>
    <x v="290"/>
    <x v="0"/>
    <d v="1983-05-29T00:00:00"/>
    <d v="2016-11-19T00:00:00"/>
    <s v="Niv.7"/>
    <x v="0"/>
    <x v="4"/>
    <x v="0"/>
    <x v="0"/>
    <x v="3"/>
    <x v="0"/>
    <x v="0"/>
    <x v="0"/>
    <x v="0"/>
    <n v="0.5"/>
    <x v="0"/>
    <x v="2"/>
    <x v="0"/>
    <n v="7"/>
    <n v="24280"/>
    <n v="8959.0759426308414"/>
    <n v="250"/>
    <n v="0"/>
    <x v="0"/>
    <x v="0"/>
    <n v="0"/>
    <x v="5"/>
    <n v="37"/>
    <n v="3"/>
    <x v="2"/>
    <x v="8"/>
    <x v="2"/>
    <n v="30011.563869293495"/>
    <x v="0"/>
    <x v="4"/>
  </r>
  <r>
    <x v="291"/>
    <x v="1"/>
    <d v="1980-09-27T00:00:00"/>
    <d v="2016-11-24T00:00:00"/>
    <s v="Niv.7"/>
    <x v="1"/>
    <x v="4"/>
    <x v="0"/>
    <x v="1"/>
    <x v="2"/>
    <x v="10"/>
    <x v="0"/>
    <x v="0"/>
    <x v="1"/>
    <n v="1"/>
    <x v="0"/>
    <x v="3"/>
    <x v="1"/>
    <n v="14"/>
    <n v="10960"/>
    <n v="37366.457711833384"/>
    <n v="250"/>
    <n v="1"/>
    <x v="0"/>
    <x v="1"/>
    <n v="0"/>
    <x v="5"/>
    <n v="39"/>
    <n v="3"/>
    <x v="1"/>
    <x v="8"/>
    <x v="3"/>
    <n v="9209.0759426308414"/>
    <x v="0"/>
    <x v="4"/>
  </r>
  <r>
    <x v="292"/>
    <x v="1"/>
    <d v="1990-05-12T00:00:00"/>
    <d v="2016-11-26T00:00:00"/>
    <s v="Niv.3"/>
    <x v="0"/>
    <x v="0"/>
    <x v="0"/>
    <x v="0"/>
    <x v="3"/>
    <x v="11"/>
    <x v="0"/>
    <x v="0"/>
    <x v="0"/>
    <n v="0.8"/>
    <x v="1"/>
    <x v="1"/>
    <x v="1"/>
    <n v="7"/>
    <n v="41800"/>
    <n v="18301.102004723507"/>
    <n v="250"/>
    <n v="1"/>
    <x v="1"/>
    <x v="0"/>
    <n v="0"/>
    <x v="5"/>
    <n v="30"/>
    <n v="3"/>
    <x v="2"/>
    <x v="8"/>
    <x v="2"/>
    <n v="45089.749254200062"/>
    <x v="0"/>
    <x v="4"/>
  </r>
  <r>
    <x v="293"/>
    <x v="1"/>
    <d v="2001-09-04T00:00:00"/>
    <d v="2016-11-29T00:00:00"/>
    <s v="Niv.3"/>
    <x v="0"/>
    <x v="4"/>
    <x v="1"/>
    <x v="0"/>
    <x v="3"/>
    <x v="0"/>
    <x v="0"/>
    <x v="0"/>
    <x v="0"/>
    <n v="1"/>
    <x v="1"/>
    <x v="2"/>
    <x v="0"/>
    <n v="7"/>
    <n v="18400"/>
    <n v="16403.52478845045"/>
    <n v="250"/>
    <n v="0"/>
    <x v="0"/>
    <x v="1"/>
    <n v="1"/>
    <x v="5"/>
    <n v="18"/>
    <n v="3"/>
    <x v="3"/>
    <x v="8"/>
    <x v="4"/>
    <n v="18551.102004723507"/>
    <x v="1"/>
    <x v="4"/>
  </r>
  <r>
    <x v="294"/>
    <x v="0"/>
    <d v="2001-03-17T00:00:00"/>
    <d v="2016-12-29T00:00:00"/>
    <s v="Niv.6"/>
    <x v="0"/>
    <x v="1"/>
    <x v="2"/>
    <x v="0"/>
    <x v="3"/>
    <x v="0"/>
    <x v="0"/>
    <x v="1"/>
    <x v="1"/>
    <n v="1"/>
    <x v="0"/>
    <x v="2"/>
    <x v="0"/>
    <n v="7"/>
    <n v="20320"/>
    <n v="25490.715815212352"/>
    <n v="500"/>
    <n v="0"/>
    <x v="0"/>
    <x v="0"/>
    <n v="1"/>
    <x v="5"/>
    <n v="19"/>
    <n v="3"/>
    <x v="3"/>
    <x v="8"/>
    <x v="0"/>
    <n v="16903.52478845045"/>
    <x v="2"/>
    <x v="4"/>
  </r>
  <r>
    <x v="295"/>
    <x v="0"/>
    <d v="1994-04-17T00:00:00"/>
    <d v="2017-01-27T00:00:00"/>
    <s v="Niv.3"/>
    <x v="1"/>
    <x v="2"/>
    <x v="1"/>
    <x v="1"/>
    <x v="2"/>
    <x v="7"/>
    <x v="0"/>
    <x v="0"/>
    <x v="0"/>
    <n v="1"/>
    <x v="1"/>
    <x v="3"/>
    <x v="1"/>
    <n v="7"/>
    <n v="21760"/>
    <n v="19351.693647972817"/>
    <n v="250"/>
    <n v="1"/>
    <x v="0"/>
    <x v="0"/>
    <n v="0"/>
    <x v="5"/>
    <n v="26"/>
    <n v="3"/>
    <x v="3"/>
    <x v="8"/>
    <x v="0"/>
    <n v="25740.715815212352"/>
    <x v="1"/>
    <x v="4"/>
  </r>
  <r>
    <x v="296"/>
    <x v="0"/>
    <d v="2001-02-27T00:00:00"/>
    <d v="2017-03-05T00:00:00"/>
    <s v="Niv.3"/>
    <x v="0"/>
    <x v="3"/>
    <x v="2"/>
    <x v="0"/>
    <x v="3"/>
    <x v="0"/>
    <x v="0"/>
    <x v="2"/>
    <x v="0"/>
    <n v="1"/>
    <x v="0"/>
    <x v="3"/>
    <x v="1"/>
    <n v="28"/>
    <n v="24280"/>
    <n v="40705.97371992001"/>
    <n v="250"/>
    <n v="1"/>
    <x v="0"/>
    <x v="0"/>
    <n v="0"/>
    <x v="5"/>
    <n v="19"/>
    <n v="3"/>
    <x v="3"/>
    <x v="8"/>
    <x v="2"/>
    <n v="19601.693647972817"/>
    <x v="2"/>
    <x v="4"/>
  </r>
  <r>
    <x v="297"/>
    <x v="0"/>
    <d v="2001-09-25T00:00:00"/>
    <d v="2017-03-18T00:00:00"/>
    <s v="Niv.3"/>
    <x v="1"/>
    <x v="4"/>
    <x v="0"/>
    <x v="0"/>
    <x v="0"/>
    <x v="0"/>
    <x v="0"/>
    <x v="0"/>
    <x v="0"/>
    <n v="1"/>
    <x v="0"/>
    <x v="3"/>
    <x v="1"/>
    <n v="14"/>
    <n v="36400"/>
    <n v="21482.696396953514"/>
    <n v="250"/>
    <n v="1"/>
    <x v="0"/>
    <x v="1"/>
    <n v="0"/>
    <x v="5"/>
    <n v="18"/>
    <n v="3"/>
    <x v="3"/>
    <x v="8"/>
    <x v="2"/>
    <n v="40955.97371992001"/>
    <x v="0"/>
    <x v="4"/>
  </r>
  <r>
    <x v="298"/>
    <x v="0"/>
    <d v="1999-10-07T00:00:00"/>
    <d v="2017-03-18T00:00:00"/>
    <s v="Niv.6"/>
    <x v="1"/>
    <x v="4"/>
    <x v="0"/>
    <x v="0"/>
    <x v="0"/>
    <x v="0"/>
    <x v="0"/>
    <x v="0"/>
    <x v="0"/>
    <n v="1"/>
    <x v="0"/>
    <x v="1"/>
    <x v="0"/>
    <n v="7"/>
    <n v="19600"/>
    <n v="55231.13249129249"/>
    <n v="500"/>
    <n v="0"/>
    <x v="1"/>
    <x v="1"/>
    <n v="0"/>
    <x v="5"/>
    <n v="20"/>
    <n v="3"/>
    <x v="3"/>
    <x v="8"/>
    <x v="4"/>
    <n v="21982.696396953514"/>
    <x v="0"/>
    <x v="4"/>
  </r>
  <r>
    <x v="299"/>
    <x v="0"/>
    <d v="1969-05-27T00:00:00"/>
    <d v="2017-03-27T00:00:00"/>
    <s v="Niv.5"/>
    <x v="0"/>
    <x v="0"/>
    <x v="2"/>
    <x v="1"/>
    <x v="2"/>
    <x v="12"/>
    <x v="0"/>
    <x v="0"/>
    <x v="0"/>
    <n v="1"/>
    <x v="0"/>
    <x v="1"/>
    <x v="1"/>
    <n v="0"/>
    <n v="49840"/>
    <n v="28565.104428200088"/>
    <n v="500"/>
    <n v="1"/>
    <x v="1"/>
    <x v="1"/>
    <n v="0"/>
    <x v="5"/>
    <n v="51"/>
    <n v="3"/>
    <x v="0"/>
    <x v="8"/>
    <x v="2"/>
    <n v="55731.13249129249"/>
    <x v="2"/>
    <x v="4"/>
  </r>
  <r>
    <x v="300"/>
    <x v="1"/>
    <d v="1996-12-07T00:00:00"/>
    <d v="2017-05-20T00:00:00"/>
    <s v="Niv.3"/>
    <x v="0"/>
    <x v="1"/>
    <x v="2"/>
    <x v="0"/>
    <x v="0"/>
    <x v="0"/>
    <x v="0"/>
    <x v="0"/>
    <x v="0"/>
    <n v="0.8"/>
    <x v="1"/>
    <x v="5"/>
    <x v="0"/>
    <n v="0"/>
    <n v="25000"/>
    <n v="22153.990747239281"/>
    <n v="250"/>
    <n v="0"/>
    <x v="0"/>
    <x v="1"/>
    <n v="0"/>
    <x v="5"/>
    <n v="23"/>
    <n v="3"/>
    <x v="3"/>
    <x v="8"/>
    <x v="2"/>
    <n v="34528.125313840101"/>
    <x v="2"/>
    <x v="4"/>
  </r>
  <r>
    <x v="301"/>
    <x v="1"/>
    <d v="1986-02-03T00:00:00"/>
    <d v="2017-05-28T00:00:00"/>
    <s v="Niv.3"/>
    <x v="0"/>
    <x v="2"/>
    <x v="1"/>
    <x v="1"/>
    <x v="2"/>
    <x v="1"/>
    <x v="0"/>
    <x v="0"/>
    <x v="0"/>
    <n v="0.8"/>
    <x v="1"/>
    <x v="5"/>
    <x v="0"/>
    <n v="0"/>
    <n v="22720"/>
    <n v="29615.722811342021"/>
    <n v="250"/>
    <n v="0"/>
    <x v="1"/>
    <x v="1"/>
    <n v="0"/>
    <x v="5"/>
    <n v="34"/>
    <n v="3"/>
    <x v="2"/>
    <x v="8"/>
    <x v="0"/>
    <n v="26834.788896687136"/>
    <x v="1"/>
    <x v="4"/>
  </r>
  <r>
    <x v="302"/>
    <x v="0"/>
    <d v="1968-12-14T00:00:00"/>
    <d v="2017-07-05T00:00:00"/>
    <s v="Niv.3"/>
    <x v="1"/>
    <x v="3"/>
    <x v="2"/>
    <x v="1"/>
    <x v="2"/>
    <x v="2"/>
    <x v="0"/>
    <x v="1"/>
    <x v="0"/>
    <n v="1"/>
    <x v="1"/>
    <x v="2"/>
    <x v="0"/>
    <n v="14"/>
    <n v="34720"/>
    <n v="63297.413159511823"/>
    <n v="250"/>
    <n v="0"/>
    <x v="0"/>
    <x v="0"/>
    <n v="0"/>
    <x v="5"/>
    <n v="51"/>
    <n v="3"/>
    <x v="0"/>
    <x v="8"/>
    <x v="2"/>
    <n v="29865.722811342021"/>
    <x v="2"/>
    <x v="4"/>
  </r>
  <r>
    <x v="303"/>
    <x v="1"/>
    <d v="1999-04-07T00:00:00"/>
    <d v="2017-07-14T00:00:00"/>
    <s v="Niv.4"/>
    <x v="0"/>
    <x v="4"/>
    <x v="0"/>
    <x v="0"/>
    <x v="0"/>
    <x v="0"/>
    <x v="0"/>
    <x v="0"/>
    <x v="1"/>
    <n v="0.8"/>
    <x v="1"/>
    <x v="2"/>
    <x v="0"/>
    <n v="14"/>
    <n v="61000"/>
    <n v="34396.47936039092"/>
    <n v="250"/>
    <n v="0"/>
    <x v="0"/>
    <x v="1"/>
    <n v="0"/>
    <x v="5"/>
    <n v="21"/>
    <n v="3"/>
    <x v="3"/>
    <x v="8"/>
    <x v="2"/>
    <n v="76206.895791414179"/>
    <x v="0"/>
    <x v="4"/>
  </r>
  <r>
    <x v="304"/>
    <x v="0"/>
    <d v="2001-09-01T00:00:00"/>
    <d v="2017-07-16T00:00:00"/>
    <s v="Niv.7"/>
    <x v="0"/>
    <x v="4"/>
    <x v="0"/>
    <x v="0"/>
    <x v="0"/>
    <x v="0"/>
    <x v="0"/>
    <x v="1"/>
    <x v="1"/>
    <n v="0.5"/>
    <x v="1"/>
    <x v="1"/>
    <x v="0"/>
    <n v="0"/>
    <n v="28600"/>
    <n v="31455.664534208503"/>
    <n v="250"/>
    <n v="0"/>
    <x v="1"/>
    <x v="1"/>
    <n v="0"/>
    <x v="5"/>
    <n v="19"/>
    <n v="3"/>
    <x v="3"/>
    <x v="8"/>
    <x v="2"/>
    <n v="51844.71904058638"/>
    <x v="0"/>
    <x v="4"/>
  </r>
  <r>
    <x v="305"/>
    <x v="0"/>
    <d v="1997-08-13T00:00:00"/>
    <d v="2017-07-20T00:00:00"/>
    <s v="Niv.3"/>
    <x v="0"/>
    <x v="0"/>
    <x v="2"/>
    <x v="0"/>
    <x v="0"/>
    <x v="0"/>
    <x v="0"/>
    <x v="0"/>
    <x v="1"/>
    <n v="1"/>
    <x v="1"/>
    <x v="1"/>
    <x v="0"/>
    <n v="0"/>
    <n v="37840"/>
    <n v="25871.461468719062"/>
    <n v="100"/>
    <n v="0"/>
    <x v="1"/>
    <x v="1"/>
    <n v="0"/>
    <x v="5"/>
    <n v="23"/>
    <n v="3"/>
    <x v="3"/>
    <x v="8"/>
    <x v="2"/>
    <n v="31555.664534208503"/>
    <x v="2"/>
    <x v="4"/>
  </r>
  <r>
    <x v="306"/>
    <x v="1"/>
    <d v="2001-07-30T00:00:00"/>
    <d v="2017-07-27T00:00:00"/>
    <s v="Niv.3"/>
    <x v="0"/>
    <x v="1"/>
    <x v="2"/>
    <x v="0"/>
    <x v="0"/>
    <x v="3"/>
    <x v="0"/>
    <x v="0"/>
    <x v="1"/>
    <n v="0.8"/>
    <x v="1"/>
    <x v="2"/>
    <x v="1"/>
    <n v="21"/>
    <n v="23440"/>
    <n v="35783.501524842031"/>
    <n v="250"/>
    <n v="1"/>
    <x v="0"/>
    <x v="1"/>
    <n v="0"/>
    <x v="5"/>
    <n v="19"/>
    <n v="3"/>
    <x v="3"/>
    <x v="8"/>
    <x v="2"/>
    <n v="31295.753762462875"/>
    <x v="2"/>
    <x v="4"/>
  </r>
  <r>
    <x v="307"/>
    <x v="0"/>
    <d v="1991-11-17T00:00:00"/>
    <d v="2017-07-28T00:00:00"/>
    <s v="Niv.7"/>
    <x v="1"/>
    <x v="2"/>
    <x v="1"/>
    <x v="0"/>
    <x v="0"/>
    <x v="4"/>
    <x v="0"/>
    <x v="0"/>
    <x v="1"/>
    <n v="0.8"/>
    <x v="1"/>
    <x v="5"/>
    <x v="0"/>
    <n v="0"/>
    <n v="37240"/>
    <n v="47150.209801328267"/>
    <n v="100"/>
    <n v="0"/>
    <x v="1"/>
    <x v="1"/>
    <n v="0"/>
    <x v="5"/>
    <n v="28"/>
    <n v="3"/>
    <x v="3"/>
    <x v="8"/>
    <x v="2"/>
    <n v="43040.201829810438"/>
    <x v="1"/>
    <x v="4"/>
  </r>
  <r>
    <x v="308"/>
    <x v="1"/>
    <d v="1993-01-08T00:00:00"/>
    <d v="2017-08-14T00:00:00"/>
    <s v="Niv.3"/>
    <x v="1"/>
    <x v="3"/>
    <x v="2"/>
    <x v="0"/>
    <x v="0"/>
    <x v="0"/>
    <x v="0"/>
    <x v="0"/>
    <x v="1"/>
    <n v="0.8"/>
    <x v="0"/>
    <x v="0"/>
    <x v="1"/>
    <n v="7"/>
    <n v="43000"/>
    <n v="58284.15753012606"/>
    <n v="250"/>
    <n v="1"/>
    <x v="0"/>
    <x v="0"/>
    <n v="0"/>
    <x v="5"/>
    <n v="27"/>
    <n v="3"/>
    <x v="3"/>
    <x v="8"/>
    <x v="2"/>
    <n v="56830.251761593921"/>
    <x v="2"/>
    <x v="4"/>
  </r>
  <r>
    <x v="309"/>
    <x v="0"/>
    <d v="1998-02-04T00:00:00"/>
    <d v="2017-08-22T00:00:00"/>
    <s v="Niv.3"/>
    <x v="0"/>
    <x v="4"/>
    <x v="0"/>
    <x v="0"/>
    <x v="3"/>
    <x v="0"/>
    <x v="0"/>
    <x v="0"/>
    <x v="1"/>
    <n v="0.5"/>
    <x v="0"/>
    <x v="2"/>
    <x v="0"/>
    <n v="7"/>
    <n v="57400"/>
    <n v="22153.990747239281"/>
    <n v="250"/>
    <n v="0"/>
    <x v="0"/>
    <x v="0"/>
    <n v="0"/>
    <x v="5"/>
    <n v="22"/>
    <n v="3"/>
    <x v="3"/>
    <x v="8"/>
    <x v="2"/>
    <n v="87676.236295189097"/>
    <x v="0"/>
    <x v="4"/>
  </r>
  <r>
    <x v="310"/>
    <x v="0"/>
    <d v="1984-12-22T00:00:00"/>
    <d v="2017-08-31T00:00:00"/>
    <s v="Niv.6"/>
    <x v="0"/>
    <x v="4"/>
    <x v="0"/>
    <x v="2"/>
    <x v="4"/>
    <x v="5"/>
    <x v="0"/>
    <x v="0"/>
    <x v="1"/>
    <n v="0.8"/>
    <x v="0"/>
    <x v="0"/>
    <x v="1"/>
    <n v="14"/>
    <n v="22720"/>
    <n v="35783.501524842031"/>
    <n v="250"/>
    <n v="1"/>
    <x v="0"/>
    <x v="1"/>
    <n v="0"/>
    <x v="5"/>
    <n v="35"/>
    <n v="3"/>
    <x v="2"/>
    <x v="8"/>
    <x v="0"/>
    <n v="26834.788896687136"/>
    <x v="0"/>
    <x v="4"/>
  </r>
  <r>
    <x v="311"/>
    <x v="1"/>
    <d v="1983-11-01T00:00:00"/>
    <d v="2017-09-02T00:00:00"/>
    <s v="Niv.7"/>
    <x v="1"/>
    <x v="0"/>
    <x v="2"/>
    <x v="0"/>
    <x v="3"/>
    <x v="0"/>
    <x v="0"/>
    <x v="0"/>
    <x v="0"/>
    <n v="0.8"/>
    <x v="1"/>
    <x v="5"/>
    <x v="0"/>
    <n v="0"/>
    <n v="37240"/>
    <n v="47150.209801328267"/>
    <n v="100"/>
    <n v="0"/>
    <x v="1"/>
    <x v="1"/>
    <n v="0"/>
    <x v="5"/>
    <n v="36"/>
    <n v="2"/>
    <x v="2"/>
    <x v="8"/>
    <x v="2"/>
    <n v="43040.201829810438"/>
    <x v="2"/>
    <x v="4"/>
  </r>
  <r>
    <x v="312"/>
    <x v="0"/>
    <d v="1999-02-11T00:00:00"/>
    <d v="2017-09-11T00:00:00"/>
    <s v="Niv.3"/>
    <x v="0"/>
    <x v="1"/>
    <x v="2"/>
    <x v="0"/>
    <x v="3"/>
    <x v="0"/>
    <x v="0"/>
    <x v="0"/>
    <x v="0"/>
    <n v="0.8"/>
    <x v="0"/>
    <x v="0"/>
    <x v="1"/>
    <n v="7"/>
    <n v="43000"/>
    <n v="58284.15753012606"/>
    <n v="250"/>
    <n v="1"/>
    <x v="0"/>
    <x v="0"/>
    <n v="0"/>
    <x v="5"/>
    <n v="21"/>
    <n v="2"/>
    <x v="3"/>
    <x v="8"/>
    <x v="2"/>
    <n v="56830.251761593921"/>
    <x v="2"/>
    <x v="4"/>
  </r>
  <r>
    <x v="313"/>
    <x v="1"/>
    <d v="1989-07-15T00:00:00"/>
    <d v="2017-09-25T00:00:00"/>
    <s v="Niv.3"/>
    <x v="0"/>
    <x v="2"/>
    <x v="1"/>
    <x v="1"/>
    <x v="2"/>
    <x v="6"/>
    <x v="0"/>
    <x v="0"/>
    <x v="1"/>
    <n v="0.5"/>
    <x v="0"/>
    <x v="2"/>
    <x v="0"/>
    <n v="7"/>
    <n v="57400"/>
    <n v="22153.990747239281"/>
    <n v="250"/>
    <n v="0"/>
    <x v="0"/>
    <x v="0"/>
    <n v="0"/>
    <x v="5"/>
    <n v="31"/>
    <n v="2"/>
    <x v="2"/>
    <x v="8"/>
    <x v="2"/>
    <n v="87676.236295189097"/>
    <x v="1"/>
    <x v="4"/>
  </r>
  <r>
    <x v="314"/>
    <x v="1"/>
    <d v="1994-11-29T00:00:00"/>
    <d v="2017-10-01T00:00:00"/>
    <s v="Niv.6"/>
    <x v="0"/>
    <x v="3"/>
    <x v="2"/>
    <x v="0"/>
    <x v="2"/>
    <x v="6"/>
    <x v="0"/>
    <x v="0"/>
    <x v="1"/>
    <n v="0.8"/>
    <x v="0"/>
    <x v="0"/>
    <x v="1"/>
    <n v="14"/>
    <n v="22720"/>
    <n v="320213"/>
    <n v="250"/>
    <n v="1"/>
    <x v="0"/>
    <x v="1"/>
    <n v="0"/>
    <x v="5"/>
    <n v="25"/>
    <n v="2"/>
    <x v="3"/>
    <x v="8"/>
    <x v="0"/>
    <n v="26834.788896687136"/>
    <x v="2"/>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8A81B2B-5070-7541-9191-BC637CAA148B}" name="Tableau croisé dynamique12" cacheId="164" applyNumberFormats="0" applyBorderFormats="0" applyFontFormats="0" applyPatternFormats="0" applyAlignmentFormats="0" applyWidthHeightFormats="1" dataCaption="Valeurs" updatedVersion="6" minRefreshableVersion="3" rowGrandTotals="0" colGrandTotals="0" itemPrintTitles="1" createdVersion="6" indent="0" showHeaders="0" outline="1" outlineData="1" multipleFieldFilters="0">
  <location ref="H3"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axis="axisRow" showAll="0">
      <items count="8">
        <item x="1"/>
        <item h="1" x="4"/>
        <item h="1" m="1" x="6"/>
        <item h="1" m="1" x="5"/>
        <item h="1" x="2"/>
        <item h="1" x="3"/>
        <item h="1" x="0"/>
        <item t="default"/>
      </items>
    </pivotField>
    <pivotField dragToRow="0" dragToCol="0" dragToPage="0" showAll="0" defaultSubtotal="0"/>
  </pivotFields>
  <rowFields count="1">
    <field x="34"/>
  </rowFields>
  <rowItems count="1">
    <i>
      <x/>
    </i>
  </rowItems>
  <colItems count="1">
    <i/>
  </colItems>
  <formats count="12">
    <format dxfId="1807">
      <pivotArea type="all" dataOnly="0" outline="0" fieldPosition="0"/>
    </format>
    <format dxfId="1806">
      <pivotArea type="all" dataOnly="0" outline="0" fieldPosition="0"/>
    </format>
    <format dxfId="1805">
      <pivotArea dataOnly="0" labelOnly="1" fieldPosition="0">
        <references count="1">
          <reference field="34" count="0"/>
        </references>
      </pivotArea>
    </format>
    <format dxfId="1804">
      <pivotArea type="all" dataOnly="0" outline="0" fieldPosition="0"/>
    </format>
    <format dxfId="1803">
      <pivotArea field="34" type="button" dataOnly="0" labelOnly="1" outline="0" axis="axisRow" fieldPosition="0"/>
    </format>
    <format dxfId="1802">
      <pivotArea dataOnly="0" labelOnly="1" fieldPosition="0">
        <references count="1">
          <reference field="34" count="0"/>
        </references>
      </pivotArea>
    </format>
    <format dxfId="1801">
      <pivotArea type="all" dataOnly="0" outline="0" fieldPosition="0"/>
    </format>
    <format dxfId="1800">
      <pivotArea field="34" type="button" dataOnly="0" labelOnly="1" outline="0" axis="axisRow" fieldPosition="0"/>
    </format>
    <format dxfId="1799">
      <pivotArea dataOnly="0" labelOnly="1" fieldPosition="0">
        <references count="1">
          <reference field="34" count="0"/>
        </references>
      </pivotArea>
    </format>
    <format dxfId="1798">
      <pivotArea dataOnly="0" labelOnly="1" fieldPosition="0">
        <references count="1">
          <reference field="34" count="0"/>
        </references>
      </pivotArea>
    </format>
    <format dxfId="1797">
      <pivotArea type="all" dataOnly="0" outline="0" fieldPosition="0"/>
    </format>
    <format dxfId="1796">
      <pivotArea dataOnly="0" labelOnly="1" fieldPosition="0">
        <references count="1">
          <reference field="34"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9F573AB-0E6A-5A48-8203-34C51BE8AC8B}" name="Tableau croisé dynamique3"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K38:K40" firstHeaderRow="0" firstDataRow="0" firstDataCol="1"/>
  <pivotFields count="36">
    <pivotField showAll="0"/>
    <pivotField showAll="0"/>
    <pivotField numFmtId="14" showAll="0"/>
    <pivotField numFmtId="14" showAll="0"/>
    <pivotField showAll="0"/>
    <pivotField showAll="0"/>
    <pivotField showAll="0"/>
    <pivotField showAll="0"/>
    <pivotField axis="axisRow" showAll="0">
      <items count="5">
        <item x="2"/>
        <item x="0"/>
        <item x="1"/>
        <item m="1" x="3"/>
        <item t="default"/>
      </items>
    </pivotField>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8"/>
  </rowFields>
  <rowItems count="3">
    <i>
      <x/>
    </i>
    <i>
      <x v="1"/>
    </i>
    <i>
      <x v="2"/>
    </i>
  </rowItems>
  <colItems count="1">
    <i/>
  </colItems>
  <formats count="1">
    <format dxfId="1757">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AC830FA-DDFF-1943-ADFF-1C3E1258AA51}" name="Tableau croisé dynamique10"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W38:W39"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numFmtId="9" showAll="0"/>
    <pivotField axis="axisRow" showAll="0">
      <items count="3">
        <item x="1"/>
        <item x="0"/>
        <item t="default"/>
      </items>
    </pivotField>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15"/>
  </rowFields>
  <rowItems count="2">
    <i>
      <x/>
    </i>
    <i>
      <x v="1"/>
    </i>
  </rowItems>
  <colItems count="1">
    <i/>
  </colItems>
  <formats count="1">
    <format dxfId="1758">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06B4530-FED1-544B-B27E-7CE487FB1C5C}" name="Tableau croisé dynamique5" cacheId="164" applyNumberFormats="0" applyBorderFormats="0" applyFontFormats="0" applyPatternFormats="0" applyAlignmentFormats="0" applyWidthHeightFormats="1" dataCaption="Valeurs" updatedVersion="6" minRefreshableVersion="3" rowGrandTotals="0" colGrandTotals="0" itemPrintTitles="1" createdVersion="6" indent="0" showHeaders="0" outline="1" outlineData="1" multipleFieldFilters="0">
  <location ref="L20"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axis="axisRow" showAll="0">
      <items count="8">
        <item x="1"/>
        <item h="1" x="4"/>
        <item h="1" m="1" x="6"/>
        <item h="1" m="1" x="5"/>
        <item h="1" x="2"/>
        <item h="1" x="3"/>
        <item h="1" x="0"/>
        <item t="default"/>
      </items>
    </pivotField>
    <pivotField dragToRow="0" dragToCol="0" dragToPage="0" showAll="0" defaultSubtotal="0"/>
  </pivotFields>
  <rowFields count="1">
    <field x="34"/>
  </rowFields>
  <rowItems count="1">
    <i>
      <x/>
    </i>
  </rowItems>
  <colItems count="1">
    <i/>
  </colItems>
  <formats count="12">
    <format dxfId="1685">
      <pivotArea type="all" dataOnly="0" outline="0" fieldPosition="0"/>
    </format>
    <format dxfId="1684">
      <pivotArea type="all" dataOnly="0" outline="0" fieldPosition="0"/>
    </format>
    <format dxfId="1683">
      <pivotArea dataOnly="0" labelOnly="1" fieldPosition="0">
        <references count="1">
          <reference field="34" count="0"/>
        </references>
      </pivotArea>
    </format>
    <format dxfId="1682">
      <pivotArea type="all" dataOnly="0" outline="0" fieldPosition="0"/>
    </format>
    <format dxfId="1681">
      <pivotArea field="34" type="button" dataOnly="0" labelOnly="1" outline="0" axis="axisRow" fieldPosition="0"/>
    </format>
    <format dxfId="1680">
      <pivotArea dataOnly="0" labelOnly="1" fieldPosition="0">
        <references count="1">
          <reference field="34" count="0"/>
        </references>
      </pivotArea>
    </format>
    <format dxfId="1679">
      <pivotArea type="all" dataOnly="0" outline="0" fieldPosition="0"/>
    </format>
    <format dxfId="1678">
      <pivotArea field="34" type="button" dataOnly="0" labelOnly="1" outline="0" axis="axisRow" fieldPosition="0"/>
    </format>
    <format dxfId="1677">
      <pivotArea dataOnly="0" labelOnly="1" fieldPosition="0">
        <references count="1">
          <reference field="34" count="0"/>
        </references>
      </pivotArea>
    </format>
    <format dxfId="1676">
      <pivotArea dataOnly="0" labelOnly="1" fieldPosition="0">
        <references count="1">
          <reference field="34" count="0"/>
        </references>
      </pivotArea>
    </format>
    <format dxfId="1675">
      <pivotArea type="all" dataOnly="0" outline="0" fieldPosition="0"/>
    </format>
    <format dxfId="1674">
      <pivotArea dataOnly="0" labelOnly="1" fieldPosition="0">
        <references count="1">
          <reference field="34" count="0"/>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B14DDD4-B1EF-4941-B74E-AE390B1AF77C}" name="Tableau croisé dynamique3" cacheId="164" applyNumberFormats="0" applyBorderFormats="0" applyFontFormats="0" applyPatternFormats="0" applyAlignmentFormats="0" applyWidthHeightFormats="1" dataCaption="Valeurs" updatedVersion="6" minRefreshableVersion="3" colGrandTotals="0" itemPrintTitles="1" createdVersion="6" indent="0" compact="0" compactData="0" multipleFieldFilters="0">
  <location ref="G26:L41" firstHeaderRow="1" firstDataRow="3" firstDataCol="2" rowPageCount="1" colPageCount="1"/>
  <pivotFields count="36">
    <pivotField compact="0" outline="0" showAll="0" defaultSubtotal="0"/>
    <pivotField axis="axisCol" dataField="1" compact="0" outline="0" showAll="0" defaultSubtotal="0">
      <items count="3">
        <item x="1"/>
        <item x="0"/>
        <item h="1" m="1"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5">
        <item h="1" m="1" x="4"/>
        <item h="1" m="1" x="3"/>
        <item h="1" m="1" x="1"/>
        <item h="1" m="1" x="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9"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axis="axisRow" compact="0" outline="0" showAll="0" defaultSubtotal="0">
      <items count="9">
        <item m="1" x="4"/>
        <item m="1" x="6"/>
        <item x="3"/>
        <item x="2"/>
        <item m="1" x="7"/>
        <item x="1"/>
        <item m="1" x="8"/>
        <item x="0"/>
        <item m="1" x="5"/>
      </items>
    </pivotField>
    <pivotField compact="0" outline="0" showAll="0" defaultSubtotal="0"/>
    <pivotField compact="0" outline="0" showAll="0" defaultSubtotal="0"/>
    <pivotField dataField="1" compact="0" outline="0" showAll="0" defaultSubtotal="0"/>
    <pivotField axis="axisRow" compact="0" outline="0" subtotalTop="0" showAll="0" sortType="ascending" defaultSubtotal="0">
      <items count="30">
        <item m="1" x="3"/>
        <item m="1" x="15"/>
        <item m="1" x="7"/>
        <item m="1" x="28"/>
        <item m="1" x="4"/>
        <item m="1" x="16"/>
        <item m="1" x="5"/>
        <item m="1" x="24"/>
        <item m="1" x="6"/>
        <item m="1" x="17"/>
        <item m="1" x="13"/>
        <item m="1" x="29"/>
        <item m="1" x="12"/>
        <item m="1" x="14"/>
        <item m="1" x="18"/>
        <item m="1" x="9"/>
        <item m="1" x="27"/>
        <item m="1" x="8"/>
        <item m="1" x="11"/>
        <item m="1" x="19"/>
        <item x="0"/>
        <item x="1"/>
        <item x="2"/>
        <item m="1" x="20"/>
        <item m="1" x="22"/>
        <item m="1" x="23"/>
        <item m="1" x="25"/>
        <item m="1" x="26"/>
        <item m="1" x="21"/>
        <item m="1" x="10"/>
      </items>
    </pivotField>
    <pivotField compact="0" outline="0" subtotalTop="0" showAll="0" defaultSubtotal="0"/>
    <pivotField compact="0" outline="0" subtotalTop="0" dragToRow="0" dragToCol="0" dragToPage="0" showAll="0" defaultSubtotal="0"/>
  </pivotFields>
  <rowFields count="2">
    <field x="33"/>
    <field x="29"/>
  </rowFields>
  <rowItems count="13">
    <i>
      <x v="20"/>
      <x v="2"/>
    </i>
    <i r="1">
      <x v="3"/>
    </i>
    <i r="1">
      <x v="5"/>
    </i>
    <i r="1">
      <x v="7"/>
    </i>
    <i>
      <x v="21"/>
      <x v="2"/>
    </i>
    <i r="1">
      <x v="3"/>
    </i>
    <i r="1">
      <x v="5"/>
    </i>
    <i r="1">
      <x v="7"/>
    </i>
    <i>
      <x v="22"/>
      <x v="2"/>
    </i>
    <i r="1">
      <x v="3"/>
    </i>
    <i r="1">
      <x v="5"/>
    </i>
    <i r="1">
      <x v="7"/>
    </i>
    <i t="grand">
      <x/>
    </i>
  </rowItems>
  <colFields count="2">
    <field x="-2"/>
    <field x="1"/>
  </colFields>
  <colItems count="4">
    <i>
      <x/>
      <x/>
    </i>
    <i r="1">
      <x v="1"/>
    </i>
    <i i="1">
      <x v="1"/>
      <x/>
    </i>
    <i r="1" i="1">
      <x v="1"/>
    </i>
  </colItems>
  <pageFields count="1">
    <pageField fld="11" hier="-1"/>
  </pageFields>
  <dataFields count="2">
    <dataField name="Moyenne  Rémunération annuelle brute ETP" fld="32" subtotal="average" baseField="0" baseItem="0" numFmtId="3"/>
    <dataField name="Nombre de salariés" fld="1" subtotal="count" baseField="0" baseItem="0" numFmtId="49"/>
  </dataFields>
  <formats count="54">
    <format dxfId="1739">
      <pivotArea type="all" dataOnly="0" outline="0" fieldPosition="0"/>
    </format>
    <format dxfId="1738">
      <pivotArea type="origin" dataOnly="0" labelOnly="1" outline="0" offset="A2:B2" fieldPosition="0"/>
    </format>
    <format dxfId="1737">
      <pivotArea field="33" type="button" dataOnly="0" labelOnly="1" outline="0" axis="axisRow" fieldPosition="0"/>
    </format>
    <format dxfId="1736">
      <pivotArea field="29" type="button" dataOnly="0" labelOnly="1" outline="0" axis="axisRow" fieldPosition="1"/>
    </format>
    <format dxfId="1735">
      <pivotArea dataOnly="0" labelOnly="1" outline="0" fieldPosition="0">
        <references count="1">
          <reference field="4294967294" count="2">
            <x v="0"/>
            <x v="1"/>
          </reference>
        </references>
      </pivotArea>
    </format>
    <format dxfId="1734">
      <pivotArea dataOnly="0" labelOnly="1" outline="0" fieldPosition="0">
        <references count="2">
          <reference field="4294967294" count="1" selected="0">
            <x v="0"/>
          </reference>
          <reference field="1" count="0"/>
        </references>
      </pivotArea>
    </format>
    <format dxfId="1733">
      <pivotArea dataOnly="0" labelOnly="1" outline="0" fieldPosition="0">
        <references count="2">
          <reference field="4294967294" count="1" selected="0">
            <x v="1"/>
          </reference>
          <reference field="1" count="0"/>
        </references>
      </pivotArea>
    </format>
    <format dxfId="1732">
      <pivotArea dataOnly="0" grandRow="1" outline="0" axis="axisRow" fieldPosition="0"/>
    </format>
    <format dxfId="1731">
      <pivotArea dataOnly="0" grandRow="1" outline="0" axis="axisRow" fieldPosition="0"/>
    </format>
    <format dxfId="1730">
      <pivotArea dataOnly="0" labelOnly="1" outline="0" fieldPosition="0">
        <references count="1">
          <reference field="33" count="5">
            <x v="23"/>
            <x v="24"/>
            <x v="25"/>
            <x v="26"/>
            <x v="27"/>
          </reference>
        </references>
      </pivotArea>
    </format>
    <format dxfId="1729">
      <pivotArea dataOnly="0" labelOnly="1" outline="0" fieldPosition="0">
        <references count="2">
          <reference field="29" count="4">
            <x v="2"/>
            <x v="3"/>
            <x v="5"/>
            <x v="7"/>
          </reference>
          <reference field="33" count="1" selected="0">
            <x v="23"/>
          </reference>
        </references>
      </pivotArea>
    </format>
    <format dxfId="1728">
      <pivotArea dataOnly="0" labelOnly="1" outline="0" fieldPosition="0">
        <references count="2">
          <reference field="29" count="3">
            <x v="2"/>
            <x v="3"/>
            <x v="7"/>
          </reference>
          <reference field="33" count="1" selected="0">
            <x v="24"/>
          </reference>
        </references>
      </pivotArea>
    </format>
    <format dxfId="1727">
      <pivotArea dataOnly="0" labelOnly="1" outline="0" fieldPosition="0">
        <references count="2">
          <reference field="29" count="4">
            <x v="2"/>
            <x v="3"/>
            <x v="5"/>
            <x v="7"/>
          </reference>
          <reference field="33" count="1" selected="0">
            <x v="25"/>
          </reference>
        </references>
      </pivotArea>
    </format>
    <format dxfId="1726">
      <pivotArea dataOnly="0" labelOnly="1" outline="0" fieldPosition="0">
        <references count="2">
          <reference field="29" count="4">
            <x v="2"/>
            <x v="3"/>
            <x v="5"/>
            <x v="7"/>
          </reference>
          <reference field="33" count="1" selected="0">
            <x v="26"/>
          </reference>
        </references>
      </pivotArea>
    </format>
    <format dxfId="1725">
      <pivotArea dataOnly="0" labelOnly="1" outline="0" fieldPosition="0">
        <references count="2">
          <reference field="29" count="4">
            <x v="2"/>
            <x v="3"/>
            <x v="5"/>
            <x v="7"/>
          </reference>
          <reference field="33" count="1" selected="0">
            <x v="27"/>
          </reference>
        </references>
      </pivotArea>
    </format>
    <format dxfId="1724">
      <pivotArea dataOnly="0" labelOnly="1" outline="0" fieldPosition="0">
        <references count="2">
          <reference field="4294967294" count="1" selected="0">
            <x v="0"/>
          </reference>
          <reference field="1" count="0"/>
        </references>
      </pivotArea>
    </format>
    <format dxfId="1723">
      <pivotArea dataOnly="0" labelOnly="1" outline="0" fieldPosition="0">
        <references count="2">
          <reference field="4294967294" count="1" selected="0">
            <x v="1"/>
          </reference>
          <reference field="1" count="0"/>
        </references>
      </pivotArea>
    </format>
    <format dxfId="1722">
      <pivotArea type="all" dataOnly="0" outline="0" fieldPosition="0"/>
    </format>
    <format dxfId="1721">
      <pivotArea outline="0" collapsedLevelsAreSubtotals="1" fieldPosition="0"/>
    </format>
    <format dxfId="1720">
      <pivotArea type="origin" dataOnly="0" labelOnly="1" outline="0" fieldPosition="0"/>
    </format>
    <format dxfId="1719">
      <pivotArea field="-2" type="button" dataOnly="0" labelOnly="1" outline="0" axis="axisCol" fieldPosition="0"/>
    </format>
    <format dxfId="1718">
      <pivotArea field="1" type="button" dataOnly="0" labelOnly="1" outline="0" axis="axisCol" fieldPosition="1"/>
    </format>
    <format dxfId="1717">
      <pivotArea type="topRight" dataOnly="0" labelOnly="1" outline="0" fieldPosition="0"/>
    </format>
    <format dxfId="1716">
      <pivotArea field="33" type="button" dataOnly="0" labelOnly="1" outline="0" axis="axisRow" fieldPosition="0"/>
    </format>
    <format dxfId="1715">
      <pivotArea field="29" type="button" dataOnly="0" labelOnly="1" outline="0" axis="axisRow" fieldPosition="1"/>
    </format>
    <format dxfId="1714">
      <pivotArea dataOnly="0" labelOnly="1" outline="0" fieldPosition="0">
        <references count="1">
          <reference field="33" count="5">
            <x v="1"/>
            <x v="5"/>
            <x v="6"/>
            <x v="7"/>
            <x v="19"/>
          </reference>
        </references>
      </pivotArea>
    </format>
    <format dxfId="1713">
      <pivotArea dataOnly="0" labelOnly="1" grandRow="1" outline="0" fieldPosition="0"/>
    </format>
    <format dxfId="1712">
      <pivotArea dataOnly="0" labelOnly="1" outline="0" fieldPosition="0">
        <references count="2">
          <reference field="29" count="4">
            <x v="2"/>
            <x v="3"/>
            <x v="5"/>
            <x v="7"/>
          </reference>
          <reference field="33" count="1" selected="0">
            <x v="1"/>
          </reference>
        </references>
      </pivotArea>
    </format>
    <format dxfId="1711">
      <pivotArea dataOnly="0" labelOnly="1" outline="0" fieldPosition="0">
        <references count="2">
          <reference field="29" count="4">
            <x v="2"/>
            <x v="3"/>
            <x v="5"/>
            <x v="7"/>
          </reference>
          <reference field="33" count="1" selected="0">
            <x v="6"/>
          </reference>
        </references>
      </pivotArea>
    </format>
    <format dxfId="1710">
      <pivotArea dataOnly="0" labelOnly="1" outline="0" fieldPosition="0">
        <references count="2">
          <reference field="29" count="1">
            <x v="2"/>
          </reference>
          <reference field="33" count="1" selected="0">
            <x v="19"/>
          </reference>
        </references>
      </pivotArea>
    </format>
    <format dxfId="1709">
      <pivotArea dataOnly="0" labelOnly="1" outline="0" fieldPosition="0">
        <references count="2">
          <reference field="29" count="2">
            <x v="2"/>
            <x v="3"/>
          </reference>
          <reference field="33" count="1" selected="0">
            <x v="7"/>
          </reference>
        </references>
      </pivotArea>
    </format>
    <format dxfId="1708">
      <pivotArea dataOnly="0" labelOnly="1" outline="0" fieldPosition="0">
        <references count="2">
          <reference field="29" count="2">
            <x v="2"/>
            <x v="3"/>
          </reference>
          <reference field="33" count="1" selected="0">
            <x v="5"/>
          </reference>
        </references>
      </pivotArea>
    </format>
    <format dxfId="1707">
      <pivotArea dataOnly="0" labelOnly="1" outline="0" fieldPosition="0">
        <references count="1">
          <reference field="4294967294" count="2">
            <x v="0"/>
            <x v="1"/>
          </reference>
        </references>
      </pivotArea>
    </format>
    <format dxfId="1706">
      <pivotArea dataOnly="0" labelOnly="1" outline="0" fieldPosition="0">
        <references count="2">
          <reference field="4294967294" count="1" selected="0">
            <x v="0"/>
          </reference>
          <reference field="1" count="0"/>
        </references>
      </pivotArea>
    </format>
    <format dxfId="1705">
      <pivotArea dataOnly="0" labelOnly="1" outline="0" fieldPosition="0">
        <references count="2">
          <reference field="4294967294" count="1" selected="0">
            <x v="1"/>
          </reference>
          <reference field="1" count="0"/>
        </references>
      </pivotArea>
    </format>
    <format dxfId="1704">
      <pivotArea dataOnly="0" labelOnly="1" outline="0" fieldPosition="0">
        <references count="1">
          <reference field="4294967294" count="2">
            <x v="0"/>
            <x v="1"/>
          </reference>
        </references>
      </pivotArea>
    </format>
    <format dxfId="1703">
      <pivotArea dataOnly="0" labelOnly="1" outline="0" fieldPosition="0">
        <references count="2">
          <reference field="4294967294" count="1" selected="0">
            <x v="0"/>
          </reference>
          <reference field="1" count="0"/>
        </references>
      </pivotArea>
    </format>
    <format dxfId="1702">
      <pivotArea dataOnly="0" labelOnly="1" outline="0" fieldPosition="0">
        <references count="2">
          <reference field="4294967294" count="1" selected="0">
            <x v="1"/>
          </reference>
          <reference field="1" count="0"/>
        </references>
      </pivotArea>
    </format>
    <format dxfId="1701">
      <pivotArea grandRow="1" outline="0" collapsedLevelsAreSubtotals="1" fieldPosition="0"/>
    </format>
    <format dxfId="1700">
      <pivotArea dataOnly="0" labelOnly="1" grandRow="1" outline="0" fieldPosition="0"/>
    </format>
    <format dxfId="1699">
      <pivotArea outline="0" fieldPosition="0">
        <references count="2">
          <reference field="4294967294" count="1" selected="0">
            <x v="1"/>
          </reference>
          <reference field="1" count="0" selected="0" defaultSubtotal="1" sumSubtotal="1" countASubtotal="1" avgSubtotal="1" maxSubtotal="1" minSubtotal="1" productSubtotal="1" countSubtotal="1" stdDevSubtotal="1" stdDevPSubtotal="1" varSubtotal="1" varPSubtotal="1"/>
        </references>
      </pivotArea>
    </format>
    <format dxfId="1698">
      <pivotArea dataOnly="0" labelOnly="1" outline="0" fieldPosition="0">
        <references count="1">
          <reference field="4294967294" count="1">
            <x v="0"/>
          </reference>
        </references>
      </pivotArea>
    </format>
    <format dxfId="1697">
      <pivotArea dataOnly="0" labelOnly="1" outline="0" fieldPosition="0">
        <references count="1">
          <reference field="4294967294" count="1">
            <x v="1"/>
          </reference>
        </references>
      </pivotArea>
    </format>
    <format dxfId="1696">
      <pivotArea field="-2" type="button" dataOnly="0" labelOnly="1" outline="0" axis="axisCol" fieldPosition="0"/>
    </format>
    <format dxfId="1695">
      <pivotArea field="1" type="button" dataOnly="0" labelOnly="1" outline="0" axis="axisCol" fieldPosition="1"/>
    </format>
    <format dxfId="1694">
      <pivotArea type="origin" dataOnly="0" labelOnly="1" outline="0" offset="A2:B2" fieldPosition="0"/>
    </format>
    <format dxfId="1693">
      <pivotArea field="33" type="button" dataOnly="0" labelOnly="1" outline="0" axis="axisRow" fieldPosition="0"/>
    </format>
    <format dxfId="1692">
      <pivotArea field="29" type="button" dataOnly="0" labelOnly="1" outline="0" axis="axisRow" fieldPosition="1"/>
    </format>
    <format dxfId="1691">
      <pivotArea dataOnly="0" labelOnly="1" outline="0" fieldPosition="0">
        <references count="1">
          <reference field="33" count="0"/>
        </references>
      </pivotArea>
    </format>
    <format dxfId="1690">
      <pivotArea dataOnly="0" labelOnly="1" grandRow="1" outline="0" fieldPosition="0"/>
    </format>
    <format dxfId="1689">
      <pivotArea dataOnly="0" labelOnly="1" outline="0" fieldPosition="0">
        <references count="2">
          <reference field="29" count="0"/>
          <reference field="33" count="1" selected="0">
            <x v="20"/>
          </reference>
        </references>
      </pivotArea>
    </format>
    <format dxfId="1688">
      <pivotArea dataOnly="0" labelOnly="1" outline="0" fieldPosition="0">
        <references count="2">
          <reference field="29" count="0"/>
          <reference field="33" count="1" selected="0">
            <x v="21"/>
          </reference>
        </references>
      </pivotArea>
    </format>
    <format dxfId="1687">
      <pivotArea dataOnly="0" labelOnly="1" outline="0" fieldPosition="0">
        <references count="2">
          <reference field="29" count="0"/>
          <reference field="33" count="1" selected="0">
            <x v="22"/>
          </reference>
        </references>
      </pivotArea>
    </format>
    <format dxfId="1686">
      <pivotArea outline="0" fieldPosition="0">
        <references count="2">
          <reference field="29" count="0" selected="0"/>
          <reference field="33" count="0" selected="0"/>
        </references>
      </pivotArea>
    </format>
  </formats>
  <pivotTableStyleInfo name="PivotStyleMedium2"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eau croisé dynamique3" cacheId="163" applyNumberFormats="0" applyBorderFormats="0" applyFontFormats="0" applyPatternFormats="0" applyAlignmentFormats="0" applyWidthHeightFormats="1" dataCaption="Données" updatedVersion="6" minRefreshableVersion="3" showMemberPropertyTips="0" useAutoFormatting="1" itemPrintTitles="1" createdVersion="6" indent="0" compact="0" compactData="0" gridDropZones="1">
  <location ref="C13:I26" firstHeaderRow="1" firstDataRow="1" firstDataCol="1"/>
  <pivotFields count="33">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ubtotalTop="0" showAll="0" defaultSubtota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ubtotalTop="0" showAll="0" includeNewItemsInFilter="1" defaultSubtota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 outline="0" showAll="0" includeNewItemsInFilter="1"/>
    <pivotField compact="0" outline="0" showAll="0" includeNewItemsInFilter="1"/>
    <pivotField compact="0" outline="0" subtotalTop="0" showAll="0" defaultSubtotal="0"/>
    <pivotField compact="0" outline="0" showAll="0" includeNewItemsInFilter="1"/>
    <pivotField compact="0" outline="0" showAll="0" includeNewItemsInFilter="1"/>
    <pivotField compact="0" outline="0" subtotalTop="0" showAll="0" includeNewItemsInFilter="1" defaultSubtotal="0"/>
    <pivotField compact="0" outline="0" subtotalTop="0" showAll="0" defaultSubtota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formats count="9">
    <format dxfId="1673">
      <pivotArea type="origin" dataOnly="0" labelOnly="1" outline="0" fieldPosition="0"/>
    </format>
    <format dxfId="1672">
      <pivotArea type="all" dataOnly="0" outline="0" fieldPosition="0"/>
    </format>
    <format dxfId="1671">
      <pivotArea type="origin" dataOnly="0" labelOnly="1" outline="0" fieldPosition="0"/>
    </format>
    <format dxfId="1670">
      <pivotArea type="all" dataOnly="0" outline="0" fieldPosition="0"/>
    </format>
    <format dxfId="1669">
      <pivotArea type="origin" dataOnly="0" labelOnly="1" outline="0" fieldPosition="0"/>
    </format>
    <format dxfId="1668">
      <pivotArea type="all" dataOnly="0" outline="0" fieldPosition="0"/>
    </format>
    <format dxfId="1667">
      <pivotArea type="origin" dataOnly="0" labelOnly="1" outline="0" fieldPosition="0"/>
    </format>
    <format dxfId="1666">
      <pivotArea type="all" dataOnly="0" outline="0" fieldPosition="0"/>
    </format>
    <format dxfId="1665">
      <pivotArea type="origin"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CA78CD5-6B29-A943-80A3-E96FF0004104}" name="Tableau croisé dynamique26"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1">
  <location ref="M278:O284" firstHeaderRow="1" firstDataRow="2"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2">
    <i>
      <x/>
    </i>
    <i>
      <x v="1"/>
    </i>
  </colItems>
  <dataFields count="1">
    <dataField name="Effectif" fld="0" subtotal="count" showDataAs="percentOfRow" baseField="0" baseItem="0" numFmtId="9"/>
  </dataFields>
  <formats count="27">
    <format dxfId="994">
      <pivotArea field="1" grandRow="1" outline="0" axis="axisCol" fieldPosition="0">
        <references count="1">
          <reference field="1" count="2" selected="0">
            <x v="0"/>
            <x v="1"/>
          </reference>
        </references>
      </pivotArea>
    </format>
    <format dxfId="993">
      <pivotArea field="1" grandRow="1" outline="0" axis="axisCol" fieldPosition="0">
        <references count="1">
          <reference field="1" count="2" selected="0">
            <x v="0"/>
            <x v="1"/>
          </reference>
        </references>
      </pivotArea>
    </format>
    <format dxfId="992">
      <pivotArea field="1" grandRow="1" outline="0" axis="axisCol" fieldPosition="0">
        <references count="1">
          <reference field="1" count="2" selected="0">
            <x v="0"/>
            <x v="1"/>
          </reference>
        </references>
      </pivotArea>
    </format>
    <format dxfId="991">
      <pivotArea field="1" grandRow="1" outline="0" axis="axisCol" fieldPosition="0">
        <references count="1">
          <reference field="1" count="2" selected="0">
            <x v="0"/>
            <x v="1"/>
          </reference>
        </references>
      </pivotArea>
    </format>
    <format dxfId="990">
      <pivotArea outline="0" fieldPosition="0">
        <references count="2">
          <reference field="1" count="2" selected="0">
            <x v="0"/>
            <x v="1"/>
          </reference>
          <reference field="5" count="0" selected="0"/>
        </references>
      </pivotArea>
    </format>
    <format dxfId="989">
      <pivotArea outline="0" fieldPosition="0">
        <references count="1">
          <reference field="1" count="2" selected="0">
            <x v="0"/>
            <x v="1"/>
          </reference>
        </references>
      </pivotArea>
    </format>
    <format dxfId="988">
      <pivotArea type="all" dataOnly="0" outline="0" fieldPosition="0"/>
    </format>
    <format dxfId="987">
      <pivotArea type="all" dataOnly="0" outline="0" fieldPosition="0"/>
    </format>
    <format dxfId="986">
      <pivotArea outline="0" collapsedLevelsAreSubtotals="1" fieldPosition="0"/>
    </format>
    <format dxfId="985">
      <pivotArea type="origin" dataOnly="0" labelOnly="1" outline="0" fieldPosition="0"/>
    </format>
    <format dxfId="984">
      <pivotArea field="1" type="button" dataOnly="0" labelOnly="1" outline="0" axis="axisCol" fieldPosition="0"/>
    </format>
    <format dxfId="983">
      <pivotArea type="topRight" dataOnly="0" labelOnly="1" outline="0" fieldPosition="0"/>
    </format>
    <format dxfId="982">
      <pivotArea field="5" type="button" dataOnly="0" labelOnly="1" outline="0" axis="axisRow" fieldPosition="0"/>
    </format>
    <format dxfId="981">
      <pivotArea dataOnly="0" labelOnly="1" outline="0" fieldPosition="0">
        <references count="1">
          <reference field="5" count="0"/>
        </references>
      </pivotArea>
    </format>
    <format dxfId="980">
      <pivotArea dataOnly="0" labelOnly="1" grandRow="1" outline="0" fieldPosition="0"/>
    </format>
    <format dxfId="979">
      <pivotArea dataOnly="0" labelOnly="1" outline="0" fieldPosition="0">
        <references count="1">
          <reference field="1" count="0"/>
        </references>
      </pivotArea>
    </format>
    <format dxfId="978">
      <pivotArea dataOnly="0" labelOnly="1" grandCol="1" outline="0" fieldPosition="0"/>
    </format>
    <format dxfId="977">
      <pivotArea type="all" dataOnly="0" outline="0" fieldPosition="0"/>
    </format>
    <format dxfId="976">
      <pivotArea outline="0" collapsedLevelsAreSubtotals="1" fieldPosition="0"/>
    </format>
    <format dxfId="975">
      <pivotArea type="origin" dataOnly="0" labelOnly="1" outline="0" fieldPosition="0"/>
    </format>
    <format dxfId="974">
      <pivotArea field="1" type="button" dataOnly="0" labelOnly="1" outline="0" axis="axisCol" fieldPosition="0"/>
    </format>
    <format dxfId="973">
      <pivotArea type="topRight" dataOnly="0" labelOnly="1" outline="0" fieldPosition="0"/>
    </format>
    <format dxfId="972">
      <pivotArea field="5" type="button" dataOnly="0" labelOnly="1" outline="0" axis="axisRow" fieldPosition="0"/>
    </format>
    <format dxfId="971">
      <pivotArea dataOnly="0" labelOnly="1" outline="0" fieldPosition="0">
        <references count="1">
          <reference field="5" count="0"/>
        </references>
      </pivotArea>
    </format>
    <format dxfId="970">
      <pivotArea dataOnly="0" labelOnly="1" grandRow="1" outline="0" fieldPosition="0"/>
    </format>
    <format dxfId="969">
      <pivotArea dataOnly="0" labelOnly="1" outline="0" fieldPosition="0">
        <references count="1">
          <reference field="1" count="0"/>
        </references>
      </pivotArea>
    </format>
    <format dxfId="968">
      <pivotArea dataOnly="0" labelOnly="1" grandCol="1" outline="0" fieldPosition="0"/>
    </format>
  </formats>
  <chartFormats count="3">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CB5B30F-0647-4645-96C8-A380E6849372}" name="Tableau croisé dynamique22"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AB234:AR239" firstHeaderRow="1" firstDataRow="4"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h="1" x="0"/>
        <item m="1" x="7"/>
        <item m="1" x="20"/>
        <item m="1" x="5"/>
        <item h="1" x="2"/>
        <item h="1" x="1"/>
        <item x="3"/>
        <item m="1" x="6"/>
        <item m="1" x="15"/>
        <item m="1" x="13"/>
        <item m="1" x="21"/>
        <item m="1" x="12"/>
        <item m="1" x="14"/>
        <item m="1" x="16"/>
        <item m="1" x="9"/>
        <item m="1" x="19"/>
        <item m="1" x="8"/>
        <item m="1" x="11"/>
        <item h="1" m="1" x="17"/>
        <item h="1" m="1" x="18"/>
        <item m="1" x="10"/>
        <item h="1"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axis="axisCol" compact="0" outline="0" subtotalTop="0" showAll="0" includeNewItemsInFilter="1">
      <items count="4">
        <item x="1"/>
        <item x="0"/>
        <item x="2"/>
        <item t="default"/>
      </items>
    </pivotField>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2">
    <i>
      <x v="6"/>
    </i>
    <i t="grand">
      <x/>
    </i>
  </rowItems>
  <colFields count="3">
    <field x="12"/>
    <field x="1"/>
    <field x="-2"/>
  </colFields>
  <colItems count="16">
    <i>
      <x/>
      <x v="1"/>
      <x/>
    </i>
    <i r="2" i="1">
      <x v="1"/>
    </i>
    <i t="default">
      <x/>
    </i>
    <i t="default" i="1">
      <x/>
    </i>
    <i>
      <x v="1"/>
      <x/>
      <x/>
    </i>
    <i r="2" i="1">
      <x v="1"/>
    </i>
    <i r="1">
      <x v="1"/>
      <x/>
    </i>
    <i r="2" i="1">
      <x v="1"/>
    </i>
    <i t="default">
      <x v="1"/>
    </i>
    <i t="default" i="1">
      <x v="1"/>
    </i>
    <i>
      <x v="2"/>
      <x v="1"/>
      <x/>
    </i>
    <i r="2" i="1">
      <x v="1"/>
    </i>
    <i t="default">
      <x v="2"/>
    </i>
    <i t="default" i="1">
      <x v="2"/>
    </i>
    <i t="grand">
      <x/>
    </i>
    <i t="grand" i="1">
      <x/>
    </i>
  </colItems>
  <dataFields count="2">
    <dataField name="effectif" fld="0" subtotal="count" baseField="0" baseItem="0"/>
    <dataField name="%age" fld="0" subtotal="count" showDataAs="percentOfRow" baseField="0" baseItem="0" numFmtId="168"/>
  </dataFields>
  <formats count="77">
    <format dxfId="1071">
      <pivotArea field="1" grandRow="1" outline="0" axis="axisCol" fieldPosition="1">
        <references count="1">
          <reference field="1" count="2" selected="0">
            <x v="0"/>
            <x v="1"/>
          </reference>
        </references>
      </pivotArea>
    </format>
    <format dxfId="1070">
      <pivotArea grandRow="1" grandCol="1" outline="0" fieldPosition="0"/>
    </format>
    <format dxfId="1069">
      <pivotArea outline="0" fieldPosition="0"/>
    </format>
    <format dxfId="1068">
      <pivotArea type="all" dataOnly="0" outline="0" fieldPosition="0"/>
    </format>
    <format dxfId="1067">
      <pivotArea type="all" dataOnly="0" outline="0" fieldPosition="0"/>
    </format>
    <format dxfId="1066">
      <pivotArea type="all" dataOnly="0" outline="0" fieldPosition="0"/>
    </format>
    <format dxfId="1065">
      <pivotArea type="all" dataOnly="0" outline="0" fieldPosition="0"/>
    </format>
    <format dxfId="1064">
      <pivotArea type="all" dataOnly="0" outline="0" fieldPosition="0"/>
    </format>
    <format dxfId="1063">
      <pivotArea type="all" dataOnly="0" outline="0" fieldPosition="0"/>
    </format>
    <format dxfId="1062">
      <pivotArea type="all" dataOnly="0" outline="0" fieldPosition="0"/>
    </format>
    <format dxfId="1061">
      <pivotArea outline="0" fieldPosition="0"/>
    </format>
    <format dxfId="1060">
      <pivotArea type="origin" dataOnly="0" labelOnly="1" outline="0" fieldPosition="0"/>
    </format>
    <format dxfId="1059">
      <pivotArea field="12" type="button" dataOnly="0" labelOnly="1" outline="0" axis="axisCol" fieldPosition="0"/>
    </format>
    <format dxfId="1058">
      <pivotArea field="1" type="button" dataOnly="0" labelOnly="1" outline="0" axis="axisCol" fieldPosition="1"/>
    </format>
    <format dxfId="1057">
      <pivotArea field="-2" type="button" dataOnly="0" labelOnly="1" outline="0" axis="axisCol" fieldPosition="2"/>
    </format>
    <format dxfId="1056">
      <pivotArea type="topRight" dataOnly="0" labelOnly="1" outline="0" fieldPosition="0"/>
    </format>
    <format dxfId="1055">
      <pivotArea field="5" type="button" dataOnly="0" labelOnly="1" outline="0" axis="axisRow" fieldPosition="0"/>
    </format>
    <format dxfId="1054">
      <pivotArea dataOnly="0" labelOnly="1" outline="0" fieldPosition="0">
        <references count="1">
          <reference field="5" count="0"/>
        </references>
      </pivotArea>
    </format>
    <format dxfId="1053">
      <pivotArea dataOnly="0" labelOnly="1" grandRow="1" outline="0" fieldPosition="0"/>
    </format>
    <format dxfId="1052">
      <pivotArea dataOnly="0" labelOnly="1" outline="0" fieldPosition="0">
        <references count="1">
          <reference field="12" count="0"/>
        </references>
      </pivotArea>
    </format>
    <format dxfId="1051">
      <pivotArea dataOnly="0" labelOnly="1" outline="0" fieldPosition="0">
        <references count="2">
          <reference field="4294967294" count="1" selected="0">
            <x v="0"/>
          </reference>
          <reference field="12" count="0" defaultSubtotal="1"/>
        </references>
      </pivotArea>
    </format>
    <format dxfId="1050">
      <pivotArea dataOnly="0" labelOnly="1" outline="0" fieldPosition="0">
        <references count="2">
          <reference field="4294967294" count="1" selected="0">
            <x v="1"/>
          </reference>
          <reference field="12" count="0" defaultSubtotal="1"/>
        </references>
      </pivotArea>
    </format>
    <format dxfId="1049">
      <pivotArea field="12" dataOnly="0" labelOnly="1" grandCol="1" outline="0" axis="axisCol" fieldPosition="0">
        <references count="1">
          <reference field="4294967294" count="1" selected="0">
            <x v="0"/>
          </reference>
        </references>
      </pivotArea>
    </format>
    <format dxfId="1048">
      <pivotArea field="12" dataOnly="0" labelOnly="1" grandCol="1" outline="0" axis="axisCol" fieldPosition="0">
        <references count="1">
          <reference field="4294967294" count="1" selected="0">
            <x v="1"/>
          </reference>
        </references>
      </pivotArea>
    </format>
    <format dxfId="1047">
      <pivotArea dataOnly="0" labelOnly="1" outline="0" fieldPosition="0">
        <references count="2">
          <reference field="1" count="0"/>
          <reference field="12" count="1" selected="0">
            <x v="0"/>
          </reference>
        </references>
      </pivotArea>
    </format>
    <format dxfId="1046">
      <pivotArea dataOnly="0" labelOnly="1" outline="0" fieldPosition="0">
        <references count="2">
          <reference field="1" count="0"/>
          <reference field="12" count="1" selected="0">
            <x v="1"/>
          </reference>
        </references>
      </pivotArea>
    </format>
    <format dxfId="1045">
      <pivotArea dataOnly="0" labelOnly="1" outline="0" fieldPosition="0">
        <references count="2">
          <reference field="1" count="1">
            <x v="0"/>
          </reference>
          <reference field="12" count="1" selected="0">
            <x v="2"/>
          </reference>
        </references>
      </pivotArea>
    </format>
    <format dxfId="1044">
      <pivotArea dataOnly="0" labelOnly="1" outline="0" fieldPosition="0">
        <references count="3">
          <reference field="4294967294" count="2">
            <x v="0"/>
            <x v="1"/>
          </reference>
          <reference field="1" count="1" selected="0">
            <x v="0"/>
          </reference>
          <reference field="12" count="1" selected="0">
            <x v="0"/>
          </reference>
        </references>
      </pivotArea>
    </format>
    <format dxfId="1043">
      <pivotArea dataOnly="0" labelOnly="1" outline="0" fieldPosition="0">
        <references count="3">
          <reference field="4294967294" count="2">
            <x v="0"/>
            <x v="1"/>
          </reference>
          <reference field="1" count="1" selected="0">
            <x v="1"/>
          </reference>
          <reference field="12" count="1" selected="0">
            <x v="0"/>
          </reference>
        </references>
      </pivotArea>
    </format>
    <format dxfId="1042">
      <pivotArea dataOnly="0" labelOnly="1" outline="0" fieldPosition="0">
        <references count="3">
          <reference field="4294967294" count="2">
            <x v="0"/>
            <x v="1"/>
          </reference>
          <reference field="1" count="1" selected="0">
            <x v="0"/>
          </reference>
          <reference field="12" count="1" selected="0">
            <x v="1"/>
          </reference>
        </references>
      </pivotArea>
    </format>
    <format dxfId="1041">
      <pivotArea dataOnly="0" labelOnly="1" outline="0" fieldPosition="0">
        <references count="3">
          <reference field="4294967294" count="2">
            <x v="0"/>
            <x v="1"/>
          </reference>
          <reference field="1" count="1" selected="0">
            <x v="1"/>
          </reference>
          <reference field="12" count="1" selected="0">
            <x v="1"/>
          </reference>
        </references>
      </pivotArea>
    </format>
    <format dxfId="1040">
      <pivotArea dataOnly="0" labelOnly="1" outline="0" fieldPosition="0">
        <references count="3">
          <reference field="4294967294" count="2">
            <x v="0"/>
            <x v="1"/>
          </reference>
          <reference field="1" count="1" selected="0">
            <x v="0"/>
          </reference>
          <reference field="12" count="1" selected="0">
            <x v="2"/>
          </reference>
        </references>
      </pivotArea>
    </format>
    <format dxfId="1039">
      <pivotArea outline="0" fieldPosition="0">
        <references count="1">
          <reference field="5" count="0" selected="0"/>
        </references>
      </pivotArea>
    </format>
    <format dxfId="1038">
      <pivotArea type="origin" dataOnly="0" labelOnly="1" outline="0" fieldPosition="0"/>
    </format>
    <format dxfId="1037">
      <pivotArea field="12" type="button" dataOnly="0" labelOnly="1" outline="0" axis="axisCol" fieldPosition="0"/>
    </format>
    <format dxfId="1036">
      <pivotArea field="1" type="button" dataOnly="0" labelOnly="1" outline="0" axis="axisCol" fieldPosition="1"/>
    </format>
    <format dxfId="1035">
      <pivotArea field="-2" type="button" dataOnly="0" labelOnly="1" outline="0" axis="axisCol" fieldPosition="2"/>
    </format>
    <format dxfId="1034">
      <pivotArea type="topRight" dataOnly="0" labelOnly="1" outline="0" fieldPosition="0"/>
    </format>
    <format dxfId="1033">
      <pivotArea field="5" type="button" dataOnly="0" labelOnly="1" outline="0" axis="axisRow" fieldPosition="0"/>
    </format>
    <format dxfId="1032">
      <pivotArea dataOnly="0" labelOnly="1" outline="0" fieldPosition="0">
        <references count="1">
          <reference field="5" count="0"/>
        </references>
      </pivotArea>
    </format>
    <format dxfId="1031">
      <pivotArea dataOnly="0" labelOnly="1" outline="0" fieldPosition="0">
        <references count="1">
          <reference field="12" count="0"/>
        </references>
      </pivotArea>
    </format>
    <format dxfId="1030">
      <pivotArea dataOnly="0" labelOnly="1" outline="0" fieldPosition="0">
        <references count="2">
          <reference field="4294967294" count="1" selected="0">
            <x v="0"/>
          </reference>
          <reference field="12" count="0" defaultSubtotal="1"/>
        </references>
      </pivotArea>
    </format>
    <format dxfId="1029">
      <pivotArea dataOnly="0" labelOnly="1" outline="0" fieldPosition="0">
        <references count="2">
          <reference field="4294967294" count="1" selected="0">
            <x v="1"/>
          </reference>
          <reference field="12" count="0" defaultSubtotal="1"/>
        </references>
      </pivotArea>
    </format>
    <format dxfId="1028">
      <pivotArea field="12" dataOnly="0" labelOnly="1" grandCol="1" outline="0" axis="axisCol" fieldPosition="0">
        <references count="1">
          <reference field="4294967294" count="1" selected="0">
            <x v="0"/>
          </reference>
        </references>
      </pivotArea>
    </format>
    <format dxfId="1027">
      <pivotArea field="12" dataOnly="0" labelOnly="1" grandCol="1" outline="0" axis="axisCol" fieldPosition="0">
        <references count="1">
          <reference field="4294967294" count="1" selected="0">
            <x v="1"/>
          </reference>
        </references>
      </pivotArea>
    </format>
    <format dxfId="1026">
      <pivotArea dataOnly="0" labelOnly="1" outline="0" fieldPosition="0">
        <references count="2">
          <reference field="1" count="0"/>
          <reference field="12" count="1" selected="0">
            <x v="0"/>
          </reference>
        </references>
      </pivotArea>
    </format>
    <format dxfId="1025">
      <pivotArea dataOnly="0" labelOnly="1" outline="0" fieldPosition="0">
        <references count="2">
          <reference field="1" count="0"/>
          <reference field="12" count="1" selected="0">
            <x v="1"/>
          </reference>
        </references>
      </pivotArea>
    </format>
    <format dxfId="1024">
      <pivotArea dataOnly="0" labelOnly="1" outline="0" fieldPosition="0">
        <references count="2">
          <reference field="1" count="0"/>
          <reference field="12" count="1" selected="0">
            <x v="2"/>
          </reference>
        </references>
      </pivotArea>
    </format>
    <format dxfId="1023">
      <pivotArea dataOnly="0" labelOnly="1" outline="0" fieldPosition="0">
        <references count="3">
          <reference field="4294967294" count="2">
            <x v="0"/>
            <x v="1"/>
          </reference>
          <reference field="1" count="1" selected="0">
            <x v="0"/>
          </reference>
          <reference field="12" count="1" selected="0">
            <x v="0"/>
          </reference>
        </references>
      </pivotArea>
    </format>
    <format dxfId="1022">
      <pivotArea dataOnly="0" labelOnly="1" outline="0" fieldPosition="0">
        <references count="3">
          <reference field="4294967294" count="2">
            <x v="0"/>
            <x v="1"/>
          </reference>
          <reference field="1" count="1" selected="0">
            <x v="1"/>
          </reference>
          <reference field="12" count="1" selected="0">
            <x v="0"/>
          </reference>
        </references>
      </pivotArea>
    </format>
    <format dxfId="1021">
      <pivotArea dataOnly="0" labelOnly="1" outline="0" fieldPosition="0">
        <references count="3">
          <reference field="4294967294" count="2">
            <x v="0"/>
            <x v="1"/>
          </reference>
          <reference field="1" count="1" selected="0">
            <x v="0"/>
          </reference>
          <reference field="12" count="1" selected="0">
            <x v="1"/>
          </reference>
        </references>
      </pivotArea>
    </format>
    <format dxfId="1020">
      <pivotArea dataOnly="0" labelOnly="1" outline="0" fieldPosition="0">
        <references count="3">
          <reference field="4294967294" count="2">
            <x v="0"/>
            <x v="1"/>
          </reference>
          <reference field="1" count="1" selected="0">
            <x v="1"/>
          </reference>
          <reference field="12" count="1" selected="0">
            <x v="1"/>
          </reference>
        </references>
      </pivotArea>
    </format>
    <format dxfId="1019">
      <pivotArea dataOnly="0" labelOnly="1" outline="0" fieldPosition="0">
        <references count="3">
          <reference field="4294967294" count="2">
            <x v="0"/>
            <x v="1"/>
          </reference>
          <reference field="1" count="1" selected="0">
            <x v="0"/>
          </reference>
          <reference field="12" count="1" selected="0">
            <x v="2"/>
          </reference>
        </references>
      </pivotArea>
    </format>
    <format dxfId="1018">
      <pivotArea dataOnly="0" labelOnly="1" outline="0" fieldPosition="0">
        <references count="3">
          <reference field="4294967294" count="2">
            <x v="0"/>
            <x v="1"/>
          </reference>
          <reference field="1" count="1" selected="0">
            <x v="1"/>
          </reference>
          <reference field="12" count="1" selected="0">
            <x v="2"/>
          </reference>
        </references>
      </pivotArea>
    </format>
    <format dxfId="1017">
      <pivotArea outline="0" fieldPosition="0">
        <references count="1">
          <reference field="5" count="0" selected="0"/>
        </references>
      </pivotArea>
    </format>
    <format dxfId="1016">
      <pivotArea type="origin" dataOnly="0" labelOnly="1" outline="0" fieldPosition="0"/>
    </format>
    <format dxfId="1015">
      <pivotArea field="12" type="button" dataOnly="0" labelOnly="1" outline="0" axis="axisCol" fieldPosition="0"/>
    </format>
    <format dxfId="1014">
      <pivotArea field="1" type="button" dataOnly="0" labelOnly="1" outline="0" axis="axisCol" fieldPosition="1"/>
    </format>
    <format dxfId="1013">
      <pivotArea field="-2" type="button" dataOnly="0" labelOnly="1" outline="0" axis="axisCol" fieldPosition="2"/>
    </format>
    <format dxfId="1012">
      <pivotArea type="topRight" dataOnly="0" labelOnly="1" outline="0" fieldPosition="0"/>
    </format>
    <format dxfId="1011">
      <pivotArea field="5" type="button" dataOnly="0" labelOnly="1" outline="0" axis="axisRow" fieldPosition="0"/>
    </format>
    <format dxfId="1010">
      <pivotArea dataOnly="0" labelOnly="1" outline="0" fieldPosition="0">
        <references count="1">
          <reference field="5" count="0"/>
        </references>
      </pivotArea>
    </format>
    <format dxfId="1009">
      <pivotArea dataOnly="0" labelOnly="1" outline="0" fieldPosition="0">
        <references count="1">
          <reference field="12" count="0"/>
        </references>
      </pivotArea>
    </format>
    <format dxfId="1008">
      <pivotArea dataOnly="0" labelOnly="1" outline="0" fieldPosition="0">
        <references count="2">
          <reference field="4294967294" count="1" selected="0">
            <x v="0"/>
          </reference>
          <reference field="12" count="0" defaultSubtotal="1"/>
        </references>
      </pivotArea>
    </format>
    <format dxfId="1007">
      <pivotArea dataOnly="0" labelOnly="1" outline="0" fieldPosition="0">
        <references count="2">
          <reference field="4294967294" count="1" selected="0">
            <x v="1"/>
          </reference>
          <reference field="12" count="0" defaultSubtotal="1"/>
        </references>
      </pivotArea>
    </format>
    <format dxfId="1006">
      <pivotArea field="12" dataOnly="0" labelOnly="1" grandCol="1" outline="0" axis="axisCol" fieldPosition="0">
        <references count="1">
          <reference field="4294967294" count="1" selected="0">
            <x v="0"/>
          </reference>
        </references>
      </pivotArea>
    </format>
    <format dxfId="1005">
      <pivotArea field="12" dataOnly="0" labelOnly="1" grandCol="1" outline="0" axis="axisCol" fieldPosition="0">
        <references count="1">
          <reference field="4294967294" count="1" selected="0">
            <x v="1"/>
          </reference>
        </references>
      </pivotArea>
    </format>
    <format dxfId="1004">
      <pivotArea dataOnly="0" labelOnly="1" outline="0" fieldPosition="0">
        <references count="2">
          <reference field="1" count="0"/>
          <reference field="12" count="1" selected="0">
            <x v="0"/>
          </reference>
        </references>
      </pivotArea>
    </format>
    <format dxfId="1003">
      <pivotArea dataOnly="0" labelOnly="1" outline="0" fieldPosition="0">
        <references count="2">
          <reference field="1" count="0"/>
          <reference field="12" count="1" selected="0">
            <x v="1"/>
          </reference>
        </references>
      </pivotArea>
    </format>
    <format dxfId="1002">
      <pivotArea dataOnly="0" labelOnly="1" outline="0" fieldPosition="0">
        <references count="2">
          <reference field="1" count="0"/>
          <reference field="12" count="1" selected="0">
            <x v="2"/>
          </reference>
        </references>
      </pivotArea>
    </format>
    <format dxfId="1001">
      <pivotArea dataOnly="0" labelOnly="1" outline="0" fieldPosition="0">
        <references count="3">
          <reference field="4294967294" count="2">
            <x v="0"/>
            <x v="1"/>
          </reference>
          <reference field="1" count="1" selected="0">
            <x v="0"/>
          </reference>
          <reference field="12" count="1" selected="0">
            <x v="0"/>
          </reference>
        </references>
      </pivotArea>
    </format>
    <format dxfId="1000">
      <pivotArea dataOnly="0" labelOnly="1" outline="0" fieldPosition="0">
        <references count="3">
          <reference field="4294967294" count="2">
            <x v="0"/>
            <x v="1"/>
          </reference>
          <reference field="1" count="1" selected="0">
            <x v="1"/>
          </reference>
          <reference field="12" count="1" selected="0">
            <x v="0"/>
          </reference>
        </references>
      </pivotArea>
    </format>
    <format dxfId="999">
      <pivotArea dataOnly="0" labelOnly="1" outline="0" fieldPosition="0">
        <references count="3">
          <reference field="4294967294" count="2">
            <x v="0"/>
            <x v="1"/>
          </reference>
          <reference field="1" count="1" selected="0">
            <x v="0"/>
          </reference>
          <reference field="12" count="1" selected="0">
            <x v="1"/>
          </reference>
        </references>
      </pivotArea>
    </format>
    <format dxfId="998">
      <pivotArea dataOnly="0" labelOnly="1" outline="0" fieldPosition="0">
        <references count="3">
          <reference field="4294967294" count="2">
            <x v="0"/>
            <x v="1"/>
          </reference>
          <reference field="1" count="1" selected="0">
            <x v="1"/>
          </reference>
          <reference field="12" count="1" selected="0">
            <x v="1"/>
          </reference>
        </references>
      </pivotArea>
    </format>
    <format dxfId="997">
      <pivotArea dataOnly="0" labelOnly="1" outline="0" fieldPosition="0">
        <references count="3">
          <reference field="4294967294" count="2">
            <x v="0"/>
            <x v="1"/>
          </reference>
          <reference field="1" count="1" selected="0">
            <x v="0"/>
          </reference>
          <reference field="12" count="1" selected="0">
            <x v="2"/>
          </reference>
        </references>
      </pivotArea>
    </format>
    <format dxfId="996">
      <pivotArea dataOnly="0" labelOnly="1" outline="0" fieldPosition="0">
        <references count="3">
          <reference field="4294967294" count="2">
            <x v="0"/>
            <x v="1"/>
          </reference>
          <reference field="1" count="1" selected="0">
            <x v="1"/>
          </reference>
          <reference field="12" count="1" selected="0">
            <x v="2"/>
          </reference>
        </references>
      </pivotArea>
    </format>
    <format dxfId="995">
      <pivotArea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E952C82-B2BB-824A-86D5-D4C09ACFB54F}" name="Tableau croisé dynamique3"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2">
  <location ref="D61:G68"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axis="axisRow" compact="0" outline="0" subtotalTop="0" showAll="0" includeNewItemsInFilter="1">
      <items count="7">
        <item x="2"/>
        <item x="0"/>
        <item x="3"/>
        <item x="4"/>
        <item x="1"/>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9"/>
  </rowFields>
  <rowItems count="6">
    <i>
      <x/>
    </i>
    <i>
      <x v="1"/>
    </i>
    <i>
      <x v="2"/>
    </i>
    <i>
      <x v="3"/>
    </i>
    <i>
      <x v="4"/>
    </i>
    <i t="grand">
      <x/>
    </i>
  </rowItems>
  <colFields count="1">
    <field x="1"/>
  </colFields>
  <colItems count="3">
    <i>
      <x v="1"/>
    </i>
    <i>
      <x v="2"/>
    </i>
    <i t="grand">
      <x/>
    </i>
  </colItems>
  <dataFields count="1">
    <dataField name="NB sur NOM" fld="0" subtotal="count" baseField="0" baseItem="0"/>
  </dataFields>
  <formats count="29">
    <format dxfId="1100">
      <pivotArea field="1" grandRow="1" outline="0" axis="axisCol" fieldPosition="0">
        <references count="1">
          <reference field="1" count="2" selected="0">
            <x v="1"/>
            <x v="2"/>
          </reference>
        </references>
      </pivotArea>
    </format>
    <format dxfId="1099">
      <pivotArea grandRow="1" grandCol="1" outline="0" fieldPosition="0"/>
    </format>
    <format dxfId="1098">
      <pivotArea outline="0" fieldPosition="0"/>
    </format>
    <format dxfId="1097">
      <pivotArea type="all" dataOnly="0" outline="0" fieldPosition="0"/>
    </format>
    <format dxfId="1096">
      <pivotArea type="all" dataOnly="0" outline="0" fieldPosition="0"/>
    </format>
    <format dxfId="1095">
      <pivotArea type="all" dataOnly="0" outline="0" fieldPosition="0"/>
    </format>
    <format dxfId="1094">
      <pivotArea type="all" dataOnly="0" outline="0" fieldPosition="0"/>
    </format>
    <format dxfId="1093">
      <pivotArea type="all" dataOnly="0" outline="0" fieldPosition="0"/>
    </format>
    <format dxfId="1092">
      <pivotArea type="all" dataOnly="0" outline="0" fieldPosition="0"/>
    </format>
    <format dxfId="1091">
      <pivotArea type="all" dataOnly="0" outline="0" fieldPosition="0"/>
    </format>
    <format dxfId="1090">
      <pivotArea outline="0" collapsedLevelsAreSubtotals="1" fieldPosition="0"/>
    </format>
    <format dxfId="1089">
      <pivotArea type="origin" dataOnly="0" labelOnly="1" outline="0" fieldPosition="0"/>
    </format>
    <format dxfId="1088">
      <pivotArea field="1" type="button" dataOnly="0" labelOnly="1" outline="0" axis="axisCol" fieldPosition="0"/>
    </format>
    <format dxfId="1087">
      <pivotArea type="topRight" dataOnly="0" labelOnly="1" outline="0" fieldPosition="0"/>
    </format>
    <format dxfId="1086">
      <pivotArea field="9" type="button" dataOnly="0" labelOnly="1" outline="0" axis="axisRow" fieldPosition="0"/>
    </format>
    <format dxfId="1085">
      <pivotArea dataOnly="0" labelOnly="1" outline="0" fieldPosition="0">
        <references count="1">
          <reference field="9" count="0"/>
        </references>
      </pivotArea>
    </format>
    <format dxfId="1084">
      <pivotArea dataOnly="0" labelOnly="1" grandRow="1" outline="0" fieldPosition="0"/>
    </format>
    <format dxfId="1083">
      <pivotArea dataOnly="0" labelOnly="1" outline="0" fieldPosition="0">
        <references count="1">
          <reference field="1" count="0"/>
        </references>
      </pivotArea>
    </format>
    <format dxfId="1082">
      <pivotArea dataOnly="0" labelOnly="1" grandCol="1" outline="0" fieldPosition="0"/>
    </format>
    <format dxfId="1081">
      <pivotArea type="all" dataOnly="0" outline="0" fieldPosition="0"/>
    </format>
    <format dxfId="1080">
      <pivotArea outline="0" collapsedLevelsAreSubtotals="1" fieldPosition="0"/>
    </format>
    <format dxfId="1079">
      <pivotArea type="origin" dataOnly="0" labelOnly="1" outline="0" fieldPosition="0"/>
    </format>
    <format dxfId="1078">
      <pivotArea field="1" type="button" dataOnly="0" labelOnly="1" outline="0" axis="axisCol" fieldPosition="0"/>
    </format>
    <format dxfId="1077">
      <pivotArea type="topRight" dataOnly="0" labelOnly="1" outline="0" fieldPosition="0"/>
    </format>
    <format dxfId="1076">
      <pivotArea field="9" type="button" dataOnly="0" labelOnly="1" outline="0" axis="axisRow" fieldPosition="0"/>
    </format>
    <format dxfId="1075">
      <pivotArea dataOnly="0" labelOnly="1" outline="0" fieldPosition="0">
        <references count="1">
          <reference field="9" count="0"/>
        </references>
      </pivotArea>
    </format>
    <format dxfId="1074">
      <pivotArea dataOnly="0" labelOnly="1" grandRow="1" outline="0" fieldPosition="0"/>
    </format>
    <format dxfId="1073">
      <pivotArea dataOnly="0" labelOnly="1" outline="0" fieldPosition="0">
        <references count="1">
          <reference field="1" count="0"/>
        </references>
      </pivotArea>
    </format>
    <format dxfId="1072">
      <pivotArea dataOnly="0" labelOnly="1" grandCol="1" outline="0" fieldPosition="0"/>
    </format>
  </formats>
  <chartFormats count="5">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1">
          <reference field="4294967294" count="1" selected="0">
            <x v="0"/>
          </reference>
        </references>
      </pivotArea>
    </chartFormat>
    <chartFormat chart="1" format="16" series="1">
      <pivotArea type="data" outline="0" fieldPosition="0">
        <references count="2">
          <reference field="4294967294" count="1" selected="0">
            <x v="0"/>
          </reference>
          <reference field="1" count="1" selected="0">
            <x v="1"/>
          </reference>
        </references>
      </pivotArea>
    </chartFormat>
    <chartFormat chart="1" format="17" series="1">
      <pivotArea type="data" outline="0" fieldPosition="0">
        <references count="2">
          <reference field="4294967294" count="1" selected="0">
            <x v="0"/>
          </reference>
          <reference field="1" count="1" selected="0">
            <x v="2"/>
          </reference>
        </references>
      </pivotArea>
    </chartFormat>
  </chartFormats>
  <pivotTableStyleInfo name="PivotStyleLight2"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49B8385-9DA5-B345-8D19-67210C92EF5D}" name="Tableau croisé dynamique2" cacheId="164" dataOnRows="1" autoFormatId="0" applyNumberFormats="0" applyBorderFormats="0" applyFontFormats="0" applyPatternFormats="0" applyAlignmentFormats="0" applyWidthHeightFormats="1" dataCaption="Données" grandTotalCaption="Ensemble" updatedVersion="6" minRefreshableVersion="3" showMultipleLabel="0" showMemberPropertyTips="0" colGrandTotals="0" createdVersion="6" indent="0" compact="0" compactData="0" gridDropZones="1" chartFormat="1">
  <location ref="V25:Y29" firstHeaderRow="1" firstDataRow="2" firstDataCol="1"/>
  <pivotFields count="36">
    <pivotField dataField="1" compact="0" outline="0" subtotalTop="0" showAll="0" includeNewItemsInFilter="1"/>
    <pivotField axis="axisRow" compact="0" outline="0" subtotalTop="0" showAll="0" includeNewItemsInFilter="1">
      <items count="4">
        <item x="1"/>
        <item x="0"/>
        <item h="1"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axis="axisCol" compact="0" outline="0" subtotalTop="0" showAll="0" includeNewItemsInFilter="1">
      <items count="5">
        <item x="0"/>
        <item x="1"/>
        <item x="2"/>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9" outline="0" subtotalTop="0" showAll="0" defaultSubtotal="0"/>
    <pivotField compact="0" numFmtId="1" outline="0" subtotalTop="0" showAll="0" includeNewItemsInFilter="1" defaultSubtotal="0"/>
    <pivotField compact="0"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8"/>
  </colFields>
  <colItems count="3">
    <i>
      <x/>
    </i>
    <i>
      <x v="1"/>
    </i>
    <i>
      <x v="2"/>
    </i>
  </colItems>
  <dataFields count="1">
    <dataField name="NB sur NOM" fld="0" subtotal="count" showDataAs="percentOfRow" baseField="0" baseItem="0" numFmtId="9"/>
  </dataFields>
  <formats count="23">
    <format dxfId="1123">
      <pivotArea type="all" dataOnly="0" outline="0" fieldPosition="0"/>
    </format>
    <format dxfId="1122">
      <pivotArea type="all" dataOnly="0" outline="0" fieldPosition="0"/>
    </format>
    <format dxfId="1121">
      <pivotArea outline="0" fieldPosition="0"/>
    </format>
    <format dxfId="1120">
      <pivotArea type="origin" dataOnly="0" labelOnly="1" outline="0" fieldPosition="0"/>
    </format>
    <format dxfId="1119">
      <pivotArea field="8" type="button" dataOnly="0" labelOnly="1" outline="0" axis="axisCol" fieldPosition="0"/>
    </format>
    <format dxfId="1118">
      <pivotArea type="topRight" dataOnly="0" labelOnly="1" outline="0" fieldPosition="0"/>
    </format>
    <format dxfId="1117">
      <pivotArea field="1" type="button" dataOnly="0" labelOnly="1" outline="0" axis="axisRow" fieldPosition="0"/>
    </format>
    <format dxfId="1116">
      <pivotArea dataOnly="0" labelOnly="1" outline="0" fieldPosition="0">
        <references count="1">
          <reference field="1" count="0"/>
        </references>
      </pivotArea>
    </format>
    <format dxfId="1115">
      <pivotArea dataOnly="0" labelOnly="1" grandRow="1" outline="0" fieldPosition="0"/>
    </format>
    <format dxfId="1114">
      <pivotArea dataOnly="0" labelOnly="1" outline="0" fieldPosition="0">
        <references count="1">
          <reference field="8" count="0"/>
        </references>
      </pivotArea>
    </format>
    <format dxfId="1113">
      <pivotArea dataOnly="0" labelOnly="1" grandCol="1" outline="0" fieldPosition="0"/>
    </format>
    <format dxfId="1112">
      <pivotArea type="all" dataOnly="0" outline="0" fieldPosition="0"/>
    </format>
    <format dxfId="1111">
      <pivotArea outline="0" fieldPosition="0"/>
    </format>
    <format dxfId="1110">
      <pivotArea type="origin" dataOnly="0" labelOnly="1" outline="0" fieldPosition="0"/>
    </format>
    <format dxfId="1109">
      <pivotArea field="8" type="button" dataOnly="0" labelOnly="1" outline="0" axis="axisCol" fieldPosition="0"/>
    </format>
    <format dxfId="1108">
      <pivotArea type="topRight" dataOnly="0" labelOnly="1" outline="0" fieldPosition="0"/>
    </format>
    <format dxfId="1107">
      <pivotArea field="1" type="button" dataOnly="0" labelOnly="1" outline="0" axis="axisRow" fieldPosition="0"/>
    </format>
    <format dxfId="1106">
      <pivotArea dataOnly="0" labelOnly="1" outline="0" fieldPosition="0">
        <references count="1">
          <reference field="1" count="0"/>
        </references>
      </pivotArea>
    </format>
    <format dxfId="1105">
      <pivotArea dataOnly="0" labelOnly="1" grandRow="1" outline="0" fieldPosition="0"/>
    </format>
    <format dxfId="1104">
      <pivotArea dataOnly="0" labelOnly="1" outline="0" fieldPosition="0">
        <references count="1">
          <reference field="8" count="0"/>
        </references>
      </pivotArea>
    </format>
    <format dxfId="1103">
      <pivotArea dataOnly="0" labelOnly="1" grandCol="1" outline="0" fieldPosition="0"/>
    </format>
    <format dxfId="1102">
      <pivotArea dataOnly="0" labelOnly="1" outline="0" fieldPosition="0">
        <references count="1">
          <reference field="8" count="0"/>
        </references>
      </pivotArea>
    </format>
    <format dxfId="1101">
      <pivotArea type="all" dataOnly="0" outline="0" fieldPosition="0"/>
    </format>
  </formats>
  <chartFormats count="3">
    <chartFormat chart="0" format="21" series="1">
      <pivotArea type="data" outline="0" fieldPosition="0">
        <references count="2">
          <reference field="4294967294" count="1" selected="0">
            <x v="0"/>
          </reference>
          <reference field="8" count="1" selected="0">
            <x v="0"/>
          </reference>
        </references>
      </pivotArea>
    </chartFormat>
    <chartFormat chart="0" format="22" series="1">
      <pivotArea type="data" outline="0" fieldPosition="0">
        <references count="2">
          <reference field="4294967294" count="1" selected="0">
            <x v="0"/>
          </reference>
          <reference field="8" count="1" selected="0">
            <x v="1"/>
          </reference>
        </references>
      </pivotArea>
    </chartFormat>
    <chartFormat chart="0" format="23" series="1">
      <pivotArea type="data" outline="0" fieldPosition="0">
        <references count="2">
          <reference field="4294967294" count="1" selected="0">
            <x v="0"/>
          </reference>
          <reference field="8"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5349CD8-877B-4C4A-984E-6C174FA999E1}" name="Tableau croisé dynamique7" cacheId="164" dataOnRows="1" autoFormatId="0" applyNumberFormats="0" applyBorderFormats="0" applyFontFormats="0" applyPatternFormats="0" applyAlignmentFormats="0" applyWidthHeightFormats="1" dataCaption="Données" grandTotalCaption="Ensemble" updatedVersion="6" minRefreshableVersion="3" showMultipleLabel="0" showMemberPropertyTips="0" colGrandTotals="0" createdVersion="6" indent="0" compact="0" compactData="0" gridDropZones="1" chartFormat="1">
  <location ref="M25:O30"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axis="axisRow" compact="0" outline="0" subtotalTop="0" showAll="0" includeNewItemsInFilter="1">
      <items count="5">
        <item x="0"/>
        <item x="2"/>
        <item h="1" m="1" x="3"/>
        <item x="1"/>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9" outline="0" subtotalTop="0" showAll="0" defaultSubtotal="0"/>
    <pivotField compact="0" numFmtId="1" outline="0" subtotalTop="0" showAll="0" includeNewItemsInFilter="1" defaultSubtotal="0"/>
    <pivotField compact="0"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8"/>
  </rowFields>
  <rowItems count="4">
    <i>
      <x/>
    </i>
    <i>
      <x v="1"/>
    </i>
    <i>
      <x v="3"/>
    </i>
    <i t="grand">
      <x/>
    </i>
  </rowItems>
  <colFields count="1">
    <field x="1"/>
  </colFields>
  <colItems count="2">
    <i>
      <x v="1"/>
    </i>
    <i>
      <x v="2"/>
    </i>
  </colItems>
  <dataFields count="1">
    <dataField name="NB sur NOM" fld="0" subtotal="count" showDataAs="percentOfRow" baseField="0" baseItem="0" numFmtId="9"/>
  </dataFields>
  <formats count="36">
    <format dxfId="1159">
      <pivotArea field="1" grandRow="1" outline="0" axis="axisCol" fieldPosition="0">
        <references count="1">
          <reference field="1" count="2" selected="0">
            <x v="1"/>
            <x v="2"/>
          </reference>
        </references>
      </pivotArea>
    </format>
    <format dxfId="1158">
      <pivotArea field="1" grandRow="1" outline="0" axis="axisCol" fieldPosition="0">
        <references count="1">
          <reference field="1" count="2" selected="0">
            <x v="1"/>
            <x v="2"/>
          </reference>
        </references>
      </pivotArea>
    </format>
    <format dxfId="1157">
      <pivotArea field="1" grandRow="1" outline="0" axis="axisCol" fieldPosition="0">
        <references count="1">
          <reference field="1" count="2" selected="0">
            <x v="1"/>
            <x v="2"/>
          </reference>
        </references>
      </pivotArea>
    </format>
    <format dxfId="1156">
      <pivotArea field="1" grandRow="1" outline="0" axis="axisCol" fieldPosition="0">
        <references count="1">
          <reference field="1" count="2" selected="0">
            <x v="1"/>
            <x v="2"/>
          </reference>
        </references>
      </pivotArea>
    </format>
    <format dxfId="1155">
      <pivotArea outline="0" fieldPosition="0">
        <references count="1">
          <reference field="1" count="2" selected="0">
            <x v="1"/>
            <x v="2"/>
          </reference>
        </references>
      </pivotArea>
    </format>
    <format dxfId="1154">
      <pivotArea type="all" dataOnly="0" outline="0" fieldPosition="0"/>
    </format>
    <format dxfId="1153">
      <pivotArea type="all" dataOnly="0" outline="0" fieldPosition="0"/>
    </format>
    <format dxfId="1152">
      <pivotArea outline="0" fieldPosition="0"/>
    </format>
    <format dxfId="1151">
      <pivotArea type="origin" dataOnly="0" labelOnly="1" outline="0" fieldPosition="0"/>
    </format>
    <format dxfId="1150">
      <pivotArea field="1" type="button" dataOnly="0" labelOnly="1" outline="0" axis="axisCol" fieldPosition="0"/>
    </format>
    <format dxfId="1149">
      <pivotArea type="topRight" dataOnly="0" labelOnly="1" outline="0" fieldPosition="0"/>
    </format>
    <format dxfId="1148">
      <pivotArea field="8" type="button" dataOnly="0" labelOnly="1" outline="0" axis="axisRow" fieldPosition="0"/>
    </format>
    <format dxfId="1147">
      <pivotArea dataOnly="0" labelOnly="1" outline="0" fieldPosition="0">
        <references count="1">
          <reference field="8" count="0"/>
        </references>
      </pivotArea>
    </format>
    <format dxfId="1146">
      <pivotArea dataOnly="0" labelOnly="1" grandRow="1" outline="0" fieldPosition="0"/>
    </format>
    <format dxfId="1145">
      <pivotArea dataOnly="0" labelOnly="1" outline="0" fieldPosition="0">
        <references count="1">
          <reference field="1" count="0"/>
        </references>
      </pivotArea>
    </format>
    <format dxfId="1144">
      <pivotArea dataOnly="0" labelOnly="1" grandCol="1" outline="0" fieldPosition="0"/>
    </format>
    <format dxfId="1143">
      <pivotArea type="all" dataOnly="0" outline="0" fieldPosition="0"/>
    </format>
    <format dxfId="1142">
      <pivotArea outline="0" fieldPosition="0"/>
    </format>
    <format dxfId="1141">
      <pivotArea type="origin" dataOnly="0" labelOnly="1" outline="0" fieldPosition="0"/>
    </format>
    <format dxfId="1140">
      <pivotArea field="1" type="button" dataOnly="0" labelOnly="1" outline="0" axis="axisCol" fieldPosition="0"/>
    </format>
    <format dxfId="1139">
      <pivotArea type="topRight" dataOnly="0" labelOnly="1" outline="0" fieldPosition="0"/>
    </format>
    <format dxfId="1138">
      <pivotArea field="8" type="button" dataOnly="0" labelOnly="1" outline="0" axis="axisRow" fieldPosition="0"/>
    </format>
    <format dxfId="1137">
      <pivotArea dataOnly="0" labelOnly="1" outline="0" fieldPosition="0">
        <references count="1">
          <reference field="8" count="0"/>
        </references>
      </pivotArea>
    </format>
    <format dxfId="1136">
      <pivotArea dataOnly="0" labelOnly="1" grandRow="1" outline="0" fieldPosition="0"/>
    </format>
    <format dxfId="1135">
      <pivotArea dataOnly="0" labelOnly="1" outline="0" fieldPosition="0">
        <references count="1">
          <reference field="1" count="0"/>
        </references>
      </pivotArea>
    </format>
    <format dxfId="1134">
      <pivotArea dataOnly="0" labelOnly="1" grandCol="1" outline="0" fieldPosition="0"/>
    </format>
    <format dxfId="1133">
      <pivotArea field="1" dataOnly="0" grandCol="1" outline="0" axis="axisCol" fieldPosition="0">
        <references count="1">
          <reference field="1" count="2">
            <x v="1"/>
            <x v="2"/>
          </reference>
        </references>
      </pivotArea>
    </format>
    <format dxfId="1132">
      <pivotArea type="all" dataOnly="0" outline="0" fieldPosition="0"/>
    </format>
    <format dxfId="1131">
      <pivotArea outline="0" collapsedLevelsAreSubtotals="1" fieldPosition="0"/>
    </format>
    <format dxfId="1130">
      <pivotArea type="origin" dataOnly="0" labelOnly="1" outline="0" fieldPosition="0"/>
    </format>
    <format dxfId="1129">
      <pivotArea field="1" type="button" dataOnly="0" labelOnly="1" outline="0" axis="axisCol" fieldPosition="0"/>
    </format>
    <format dxfId="1128">
      <pivotArea type="topRight" dataOnly="0" labelOnly="1" outline="0" fieldPosition="0"/>
    </format>
    <format dxfId="1127">
      <pivotArea field="8" type="button" dataOnly="0" labelOnly="1" outline="0" axis="axisRow" fieldPosition="0"/>
    </format>
    <format dxfId="1126">
      <pivotArea dataOnly="0" labelOnly="1" outline="0" fieldPosition="0">
        <references count="1">
          <reference field="8" count="0"/>
        </references>
      </pivotArea>
    </format>
    <format dxfId="1125">
      <pivotArea dataOnly="0" labelOnly="1" grandRow="1" outline="0" fieldPosition="0"/>
    </format>
    <format dxfId="1124">
      <pivotArea dataOnly="0" labelOnly="1" outline="0" fieldPosition="0">
        <references count="1">
          <reference field="1" count="2">
            <x v="1"/>
            <x v="2"/>
          </reference>
        </references>
      </pivotArea>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464F40D-EF57-D645-AA93-90598A08993D}" name="Tableau croisé dynamique4"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E38:E41" firstHeaderRow="0" firstDataRow="0" firstDataCol="1"/>
  <pivotFields count="36">
    <pivotField showAll="0"/>
    <pivotField showAll="0"/>
    <pivotField numFmtId="14" showAll="0"/>
    <pivotField numFmtId="14" showAll="0"/>
    <pivotField showAll="0"/>
    <pivotField axis="axisRow" showAll="0">
      <items count="23">
        <item x="0"/>
        <item x="2"/>
        <item x="1"/>
        <item x="3"/>
        <item m="1" x="17"/>
        <item m="1" x="4"/>
        <item m="1" x="18"/>
        <item m="1" x="10"/>
        <item m="1" x="15"/>
        <item m="1" x="12"/>
        <item m="1" x="13"/>
        <item m="1" x="16"/>
        <item m="1" x="19"/>
        <item m="1" x="8"/>
        <item m="1" x="7"/>
        <item m="1" x="6"/>
        <item m="1" x="21"/>
        <item m="1" x="14"/>
        <item m="1" x="9"/>
        <item m="1" x="11"/>
        <item m="1" x="20"/>
        <item m="1" x="5"/>
        <item t="default"/>
      </items>
    </pivotField>
    <pivotField showAll="0"/>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5"/>
  </rowFields>
  <rowItems count="4">
    <i>
      <x/>
    </i>
    <i>
      <x v="1"/>
    </i>
    <i>
      <x v="2"/>
    </i>
    <i>
      <x v="3"/>
    </i>
  </rowItems>
  <colItems count="1">
    <i/>
  </colItems>
  <formats count="1">
    <format dxfId="1749">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3289673-B38A-0948-AB25-B8B503E5DFFA}" name="Tableau croisé dynamique5"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showHeaders="0" compact="0" compactData="0" gridDropZones="1" chartFormat="6">
  <location ref="D100:G115" firstHeaderRow="1" firstDataRow="2" firstDataCol="1"/>
  <pivotFields count="36">
    <pivotField compact="0" outline="0" subtotalTop="0" showAll="0" includeNewItemsInFilter="1"/>
    <pivotField axis="axisCol" dataField="1"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axis="axisRow" compact="0" outline="0" subtotalTop="0" showAll="0" includeNewItemsInFilter="1" sortType="ascending">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0"/>
  </rowFields>
  <rowItems count="14">
    <i>
      <x/>
    </i>
    <i>
      <x v="1"/>
    </i>
    <i>
      <x v="2"/>
    </i>
    <i>
      <x v="3"/>
    </i>
    <i>
      <x v="4"/>
    </i>
    <i>
      <x v="5"/>
    </i>
    <i>
      <x v="6"/>
    </i>
    <i>
      <x v="7"/>
    </i>
    <i>
      <x v="8"/>
    </i>
    <i>
      <x v="9"/>
    </i>
    <i>
      <x v="10"/>
    </i>
    <i>
      <x v="11"/>
    </i>
    <i>
      <x v="12"/>
    </i>
    <i t="grand">
      <x/>
    </i>
  </rowItems>
  <colFields count="1">
    <field x="1"/>
  </colFields>
  <colItems count="3">
    <i>
      <x v="1"/>
    </i>
    <i>
      <x v="2"/>
    </i>
    <i t="grand">
      <x/>
    </i>
  </colItems>
  <dataFields count="1">
    <dataField name="NB sur SEXE" fld="1" subtotal="count" baseField="0" baseItem="0" numFmtId="1"/>
  </dataFields>
  <formats count="20">
    <format dxfId="1179">
      <pivotArea type="all" dataOnly="0" outline="0" fieldPosition="0"/>
    </format>
    <format dxfId="1178">
      <pivotArea outline="0" collapsedLevelsAreSubtotals="1" fieldPosition="0"/>
    </format>
    <format dxfId="1177">
      <pivotArea type="origin" dataOnly="0" labelOnly="1" outline="0" fieldPosition="0"/>
    </format>
    <format dxfId="1176">
      <pivotArea field="1" type="button" dataOnly="0" labelOnly="1" outline="0" axis="axisCol" fieldPosition="0"/>
    </format>
    <format dxfId="1175">
      <pivotArea type="topRight" dataOnly="0" labelOnly="1" outline="0" fieldPosition="0"/>
    </format>
    <format dxfId="1174">
      <pivotArea field="10" type="button" dataOnly="0" labelOnly="1" outline="0" axis="axisRow" fieldPosition="0"/>
    </format>
    <format dxfId="1173">
      <pivotArea dataOnly="0" labelOnly="1" outline="0" fieldPosition="0">
        <references count="1">
          <reference field="10" count="11">
            <x v="0"/>
            <x v="1"/>
            <x v="3"/>
            <x v="4"/>
            <x v="5"/>
            <x v="6"/>
            <x v="8"/>
            <x v="9"/>
            <x v="10"/>
            <x v="11"/>
            <x v="12"/>
          </reference>
        </references>
      </pivotArea>
    </format>
    <format dxfId="1172">
      <pivotArea dataOnly="0" labelOnly="1" grandRow="1" outline="0" fieldPosition="0"/>
    </format>
    <format dxfId="1171">
      <pivotArea dataOnly="0" labelOnly="1" outline="0" fieldPosition="0">
        <references count="1">
          <reference field="1" count="0"/>
        </references>
      </pivotArea>
    </format>
    <format dxfId="1170">
      <pivotArea dataOnly="0" labelOnly="1" grandCol="1" outline="0" fieldPosition="0"/>
    </format>
    <format dxfId="1169">
      <pivotArea type="all" dataOnly="0" outline="0" fieldPosition="0"/>
    </format>
    <format dxfId="1168">
      <pivotArea outline="0" collapsedLevelsAreSubtotals="1" fieldPosition="0"/>
    </format>
    <format dxfId="1167">
      <pivotArea type="origin" dataOnly="0" labelOnly="1" outline="0" fieldPosition="0"/>
    </format>
    <format dxfId="1166">
      <pivotArea field="1" type="button" dataOnly="0" labelOnly="1" outline="0" axis="axisCol" fieldPosition="0"/>
    </format>
    <format dxfId="1165">
      <pivotArea type="topRight" dataOnly="0" labelOnly="1" outline="0" fieldPosition="0"/>
    </format>
    <format dxfId="1164">
      <pivotArea field="10" type="button" dataOnly="0" labelOnly="1" outline="0" axis="axisRow" fieldPosition="0"/>
    </format>
    <format dxfId="1163">
      <pivotArea dataOnly="0" labelOnly="1" outline="0" fieldPosition="0">
        <references count="1">
          <reference field="10" count="11">
            <x v="0"/>
            <x v="1"/>
            <x v="3"/>
            <x v="4"/>
            <x v="5"/>
            <x v="6"/>
            <x v="8"/>
            <x v="9"/>
            <x v="10"/>
            <x v="11"/>
            <x v="12"/>
          </reference>
        </references>
      </pivotArea>
    </format>
    <format dxfId="1162">
      <pivotArea dataOnly="0" labelOnly="1" grandRow="1" outline="0" fieldPosition="0"/>
    </format>
    <format dxfId="1161">
      <pivotArea dataOnly="0" labelOnly="1" outline="0" fieldPosition="0">
        <references count="1">
          <reference field="1" count="0"/>
        </references>
      </pivotArea>
    </format>
    <format dxfId="1160">
      <pivotArea dataOnly="0" labelOnly="1" grandCol="1" outline="0" fieldPosition="0"/>
    </format>
  </formats>
  <chartFormats count="6">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2" format="4" series="1">
      <pivotArea type="data" outline="0" fieldPosition="0">
        <references count="2">
          <reference field="4294967294" count="1" selected="0">
            <x v="0"/>
          </reference>
          <reference field="1" count="1" selected="0">
            <x v="1"/>
          </reference>
        </references>
      </pivotArea>
    </chartFormat>
    <chartFormat chart="2" format="5" series="1">
      <pivotArea type="data" outline="0" fieldPosition="0">
        <references count="2">
          <reference field="4294967294" count="1" selected="0">
            <x v="0"/>
          </reference>
          <reference field="1" count="1" selected="0">
            <x v="2"/>
          </reference>
        </references>
      </pivotArea>
    </chartFormat>
    <chartFormat chart="4" format="16" series="1">
      <pivotArea type="data" outline="0" fieldPosition="0">
        <references count="2">
          <reference field="4294967294" count="1" selected="0">
            <x v="0"/>
          </reference>
          <reference field="1" count="1" selected="0">
            <x v="1"/>
          </reference>
        </references>
      </pivotArea>
    </chartFormat>
    <chartFormat chart="4"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046FFAE-9EC9-B343-A11B-8A0B8F81F0E8}" name="Tableau croisé dynamique15"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V146:AA150"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Col"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5"/>
  </colFields>
  <colItems count="5">
    <i>
      <x/>
    </i>
    <i>
      <x v="4"/>
    </i>
    <i>
      <x v="5"/>
    </i>
    <i>
      <x v="6"/>
    </i>
    <i t="grand">
      <x/>
    </i>
  </colItems>
  <dataFields count="1">
    <dataField name="NB sur NOM" fld="0" subtotal="count" showDataAs="percentOfRow" baseField="0" baseItem="0" numFmtId="9"/>
  </dataFields>
  <formats count="21">
    <format dxfId="1200">
      <pivotArea type="all" dataOnly="0" outline="0" fieldPosition="0"/>
    </format>
    <format dxfId="1199">
      <pivotArea type="all" dataOnly="0" outline="0" fieldPosition="0"/>
    </format>
    <format dxfId="1198">
      <pivotArea outline="0" collapsedLevelsAreSubtotals="1" fieldPosition="0"/>
    </format>
    <format dxfId="1197">
      <pivotArea type="origin" dataOnly="0" labelOnly="1" outline="0" fieldPosition="0"/>
    </format>
    <format dxfId="1196">
      <pivotArea field="5" type="button" dataOnly="0" labelOnly="1" outline="0" axis="axisCol" fieldPosition="0"/>
    </format>
    <format dxfId="1195">
      <pivotArea type="topRight" dataOnly="0" labelOnly="1" outline="0" fieldPosition="0"/>
    </format>
    <format dxfId="1194">
      <pivotArea field="1" type="button" dataOnly="0" labelOnly="1" outline="0" axis="axisRow" fieldPosition="0"/>
    </format>
    <format dxfId="1193">
      <pivotArea dataOnly="0" labelOnly="1" outline="0" fieldPosition="0">
        <references count="1">
          <reference field="1" count="0"/>
        </references>
      </pivotArea>
    </format>
    <format dxfId="1192">
      <pivotArea dataOnly="0" labelOnly="1" grandRow="1" outline="0" fieldPosition="0"/>
    </format>
    <format dxfId="1191">
      <pivotArea dataOnly="0" labelOnly="1" outline="0" fieldPosition="0">
        <references count="1">
          <reference field="5" count="0"/>
        </references>
      </pivotArea>
    </format>
    <format dxfId="1190">
      <pivotArea dataOnly="0" labelOnly="1" grandCol="1" outline="0" fieldPosition="0"/>
    </format>
    <format dxfId="1189">
      <pivotArea type="all" dataOnly="0" outline="0" fieldPosition="0"/>
    </format>
    <format dxfId="1188">
      <pivotArea outline="0" collapsedLevelsAreSubtotals="1" fieldPosition="0"/>
    </format>
    <format dxfId="1187">
      <pivotArea type="origin" dataOnly="0" labelOnly="1" outline="0" fieldPosition="0"/>
    </format>
    <format dxfId="1186">
      <pivotArea field="5" type="button" dataOnly="0" labelOnly="1" outline="0" axis="axisCol" fieldPosition="0"/>
    </format>
    <format dxfId="1185">
      <pivotArea type="topRight" dataOnly="0" labelOnly="1" outline="0" fieldPosition="0"/>
    </format>
    <format dxfId="1184">
      <pivotArea field="1" type="button" dataOnly="0" labelOnly="1" outline="0" axis="axisRow" fieldPosition="0"/>
    </format>
    <format dxfId="1183">
      <pivotArea dataOnly="0" labelOnly="1" outline="0" fieldPosition="0">
        <references count="1">
          <reference field="1" count="0"/>
        </references>
      </pivotArea>
    </format>
    <format dxfId="1182">
      <pivotArea dataOnly="0" labelOnly="1" grandRow="1" outline="0" fieldPosition="0"/>
    </format>
    <format dxfId="1181">
      <pivotArea dataOnly="0" labelOnly="1" outline="0" fieldPosition="0">
        <references count="1">
          <reference field="5" count="0"/>
        </references>
      </pivotArea>
    </format>
    <format dxfId="1180">
      <pivotArea dataOnly="0" labelOnly="1" grandCol="1" outline="0" fieldPosition="0"/>
    </format>
  </formats>
  <chartFormats count="6">
    <chartFormat chart="0" format="21" series="1">
      <pivotArea type="data" outline="0" fieldPosition="0">
        <references count="2">
          <reference field="4294967294" count="1" selected="0">
            <x v="0"/>
          </reference>
          <reference field="5" count="1" selected="0">
            <x v="0"/>
          </reference>
        </references>
      </pivotArea>
    </chartFormat>
    <chartFormat chart="0" format="22" series="1">
      <pivotArea type="data" outline="0" fieldPosition="0">
        <references count="2">
          <reference field="4294967294" count="1" selected="0">
            <x v="0"/>
          </reference>
          <reference field="5" count="1" selected="0">
            <x v="4"/>
          </reference>
        </references>
      </pivotArea>
    </chartFormat>
    <chartFormat chart="0" format="23" series="1">
      <pivotArea type="data" outline="0" fieldPosition="0">
        <references count="2">
          <reference field="4294967294" count="1" selected="0">
            <x v="0"/>
          </reference>
          <reference field="5" count="1" selected="0">
            <x v="5"/>
          </reference>
        </references>
      </pivotArea>
    </chartFormat>
    <chartFormat chart="0" format="24" series="1">
      <pivotArea type="data" outline="0" fieldPosition="0">
        <references count="2">
          <reference field="4294967294" count="1" selected="0">
            <x v="0"/>
          </reference>
          <reference field="5" count="1" selected="0">
            <x v="6"/>
          </reference>
        </references>
      </pivotArea>
    </chartFormat>
    <chartFormat chart="0" format="25">
      <pivotArea type="data" outline="0" fieldPosition="0">
        <references count="3">
          <reference field="4294967294" count="1" selected="0">
            <x v="0"/>
          </reference>
          <reference field="1" count="1" selected="0">
            <x v="0"/>
          </reference>
          <reference field="5" count="1" selected="0">
            <x v="6"/>
          </reference>
        </references>
      </pivotArea>
    </chartFormat>
    <chartFormat chart="0" format="26">
      <pivotArea type="data" outline="0" fieldPosition="0">
        <references count="3">
          <reference field="4294967294" count="1" selected="0">
            <x v="0"/>
          </reference>
          <reference field="1" count="1" selected="0">
            <x v="1"/>
          </reference>
          <reference field="5" count="1" selected="0">
            <x v="6"/>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F029B309-A16F-A849-8697-3006700D88D3}" name="Tableau croisé dynamique4"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1">
  <location ref="V61:X68"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axis="axisRow" compact="0" outline="0" subtotalTop="0" showAll="0" includeNewItemsInFilter="1">
      <items count="7">
        <item x="2"/>
        <item x="0"/>
        <item x="3"/>
        <item x="4"/>
        <item x="1"/>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9"/>
  </rowFields>
  <rowItems count="6">
    <i>
      <x/>
    </i>
    <i>
      <x v="1"/>
    </i>
    <i>
      <x v="2"/>
    </i>
    <i>
      <x v="3"/>
    </i>
    <i>
      <x v="4"/>
    </i>
    <i t="grand">
      <x/>
    </i>
  </rowItems>
  <colFields count="1">
    <field x="1"/>
  </colFields>
  <colItems count="2">
    <i>
      <x v="1"/>
    </i>
    <i>
      <x v="2"/>
    </i>
  </colItems>
  <dataFields count="1">
    <dataField name="NB sur NOM" fld="0" subtotal="count" showDataAs="percentOfRow" baseField="0" baseItem="0" numFmtId="9"/>
  </dataFields>
  <formats count="19">
    <format dxfId="1219">
      <pivotArea type="all" dataOnly="0" outline="0" fieldPosition="0"/>
    </format>
    <format dxfId="1218">
      <pivotArea type="all" dataOnly="0" outline="0" fieldPosition="0"/>
    </format>
    <format dxfId="1217">
      <pivotArea outline="0" collapsedLevelsAreSubtotals="1" fieldPosition="0"/>
    </format>
    <format dxfId="1216">
      <pivotArea type="origin" dataOnly="0" labelOnly="1" outline="0" fieldPosition="0"/>
    </format>
    <format dxfId="1215">
      <pivotArea field="1" type="button" dataOnly="0" labelOnly="1" outline="0" axis="axisCol" fieldPosition="0"/>
    </format>
    <format dxfId="1214">
      <pivotArea type="topRight" dataOnly="0" labelOnly="1" outline="0" fieldPosition="0"/>
    </format>
    <format dxfId="1213">
      <pivotArea field="9" type="button" dataOnly="0" labelOnly="1" outline="0" axis="axisRow" fieldPosition="0"/>
    </format>
    <format dxfId="1212">
      <pivotArea dataOnly="0" labelOnly="1" outline="0" fieldPosition="0">
        <references count="1">
          <reference field="9" count="0"/>
        </references>
      </pivotArea>
    </format>
    <format dxfId="1211">
      <pivotArea dataOnly="0" labelOnly="1" grandRow="1" outline="0" fieldPosition="0"/>
    </format>
    <format dxfId="1210">
      <pivotArea dataOnly="0" labelOnly="1" outline="0" fieldPosition="0">
        <references count="1">
          <reference field="1" count="0"/>
        </references>
      </pivotArea>
    </format>
    <format dxfId="1209">
      <pivotArea type="all" dataOnly="0" outline="0" fieldPosition="0"/>
    </format>
    <format dxfId="1208">
      <pivotArea outline="0" collapsedLevelsAreSubtotals="1" fieldPosition="0"/>
    </format>
    <format dxfId="1207">
      <pivotArea type="origin" dataOnly="0" labelOnly="1" outline="0" fieldPosition="0"/>
    </format>
    <format dxfId="1206">
      <pivotArea field="1" type="button" dataOnly="0" labelOnly="1" outline="0" axis="axisCol" fieldPosition="0"/>
    </format>
    <format dxfId="1205">
      <pivotArea type="topRight" dataOnly="0" labelOnly="1" outline="0" fieldPosition="0"/>
    </format>
    <format dxfId="1204">
      <pivotArea field="9" type="button" dataOnly="0" labelOnly="1" outline="0" axis="axisRow" fieldPosition="0"/>
    </format>
    <format dxfId="1203">
      <pivotArea dataOnly="0" labelOnly="1" outline="0" fieldPosition="0">
        <references count="1">
          <reference field="9" count="0"/>
        </references>
      </pivotArea>
    </format>
    <format dxfId="1202">
      <pivotArea dataOnly="0" labelOnly="1" grandRow="1" outline="0" fieldPosition="0"/>
    </format>
    <format dxfId="1201">
      <pivotArea dataOnly="0" labelOnly="1" outline="0" fieldPosition="0">
        <references count="1">
          <reference field="1" count="0"/>
        </references>
      </pivotArea>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B42F630-D455-7846-80B8-8144C0324E4C}" name="Tableau croisé dynamique13"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M148:P154"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NB sur NOM" fld="0" subtotal="count" showDataAs="percentOfRow" baseField="0" baseItem="0" numFmtId="9"/>
  </dataFields>
  <formats count="27">
    <format dxfId="1246">
      <pivotArea field="1" grandRow="1" outline="0" axis="axisCol" fieldPosition="0">
        <references count="1">
          <reference field="1" count="2" selected="0">
            <x v="1"/>
            <x v="2"/>
          </reference>
        </references>
      </pivotArea>
    </format>
    <format dxfId="1245">
      <pivotArea field="1" grandRow="1" outline="0" axis="axisCol" fieldPosition="0">
        <references count="1">
          <reference field="1" count="2" selected="0">
            <x v="1"/>
            <x v="2"/>
          </reference>
        </references>
      </pivotArea>
    </format>
    <format dxfId="1244">
      <pivotArea field="1" grandRow="1" outline="0" axis="axisCol" fieldPosition="0">
        <references count="1">
          <reference field="1" count="2" selected="0">
            <x v="1"/>
            <x v="2"/>
          </reference>
        </references>
      </pivotArea>
    </format>
    <format dxfId="1243">
      <pivotArea field="1" grandRow="1" outline="0" axis="axisCol" fieldPosition="0">
        <references count="1">
          <reference field="1" count="2" selected="0">
            <x v="1"/>
            <x v="2"/>
          </reference>
        </references>
      </pivotArea>
    </format>
    <format dxfId="1242">
      <pivotArea outline="0" fieldPosition="0">
        <references count="2">
          <reference field="1" count="2" selected="0">
            <x v="1"/>
            <x v="2"/>
          </reference>
          <reference field="5" count="0" selected="0"/>
        </references>
      </pivotArea>
    </format>
    <format dxfId="1241">
      <pivotArea outline="0" fieldPosition="0">
        <references count="1">
          <reference field="1" count="2" selected="0">
            <x v="1"/>
            <x v="2"/>
          </reference>
        </references>
      </pivotArea>
    </format>
    <format dxfId="1240">
      <pivotArea type="all" dataOnly="0" outline="0" fieldPosition="0"/>
    </format>
    <format dxfId="1239">
      <pivotArea type="all" dataOnly="0" outline="0" fieldPosition="0"/>
    </format>
    <format dxfId="1238">
      <pivotArea outline="0" collapsedLevelsAreSubtotals="1" fieldPosition="0"/>
    </format>
    <format dxfId="1237">
      <pivotArea type="origin" dataOnly="0" labelOnly="1" outline="0" fieldPosition="0"/>
    </format>
    <format dxfId="1236">
      <pivotArea field="1" type="button" dataOnly="0" labelOnly="1" outline="0" axis="axisCol" fieldPosition="0"/>
    </format>
    <format dxfId="1235">
      <pivotArea type="topRight" dataOnly="0" labelOnly="1" outline="0" fieldPosition="0"/>
    </format>
    <format dxfId="1234">
      <pivotArea field="5" type="button" dataOnly="0" labelOnly="1" outline="0" axis="axisRow" fieldPosition="0"/>
    </format>
    <format dxfId="1233">
      <pivotArea dataOnly="0" labelOnly="1" outline="0" fieldPosition="0">
        <references count="1">
          <reference field="5" count="0"/>
        </references>
      </pivotArea>
    </format>
    <format dxfId="1232">
      <pivotArea dataOnly="0" labelOnly="1" grandRow="1" outline="0" fieldPosition="0"/>
    </format>
    <format dxfId="1231">
      <pivotArea dataOnly="0" labelOnly="1" outline="0" fieldPosition="0">
        <references count="1">
          <reference field="1" count="0"/>
        </references>
      </pivotArea>
    </format>
    <format dxfId="1230">
      <pivotArea dataOnly="0" labelOnly="1" grandCol="1" outline="0" fieldPosition="0"/>
    </format>
    <format dxfId="1229">
      <pivotArea type="all" dataOnly="0" outline="0" fieldPosition="0"/>
    </format>
    <format dxfId="1228">
      <pivotArea outline="0" collapsedLevelsAreSubtotals="1" fieldPosition="0"/>
    </format>
    <format dxfId="1227">
      <pivotArea type="origin" dataOnly="0" labelOnly="1" outline="0" fieldPosition="0"/>
    </format>
    <format dxfId="1226">
      <pivotArea field="1" type="button" dataOnly="0" labelOnly="1" outline="0" axis="axisCol" fieldPosition="0"/>
    </format>
    <format dxfId="1225">
      <pivotArea type="topRight" dataOnly="0" labelOnly="1" outline="0" fieldPosition="0"/>
    </format>
    <format dxfId="1224">
      <pivotArea field="5" type="button" dataOnly="0" labelOnly="1" outline="0" axis="axisRow" fieldPosition="0"/>
    </format>
    <format dxfId="1223">
      <pivotArea dataOnly="0" labelOnly="1" outline="0" fieldPosition="0">
        <references count="1">
          <reference field="5" count="0"/>
        </references>
      </pivotArea>
    </format>
    <format dxfId="1222">
      <pivotArea dataOnly="0" labelOnly="1" grandRow="1" outline="0" fieldPosition="0"/>
    </format>
    <format dxfId="1221">
      <pivotArea dataOnly="0" labelOnly="1" outline="0" fieldPosition="0">
        <references count="1">
          <reference field="1" count="0"/>
        </references>
      </pivotArea>
    </format>
    <format dxfId="1220">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3291FE3-D34F-2A4C-81D3-772D654237BC}" name="Tableau croisé dynamique8"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showHeaders="0" compact="0" compactData="0" gridDropZones="1" chartFormat="5">
  <location ref="M100:O115" firstHeaderRow="1" firstDataRow="2" firstDataCol="1"/>
  <pivotFields count="36">
    <pivotField compact="0" outline="0" subtotalTop="0" showAll="0" includeNewItemsInFilter="1"/>
    <pivotField axis="axisCol" dataField="1"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axis="axisRow" compact="0" outline="0" subtotalTop="0" showAll="0" includeNewItemsInFilter="1" sortType="ascending">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0"/>
  </rowFields>
  <rowItems count="14">
    <i>
      <x/>
    </i>
    <i>
      <x v="1"/>
    </i>
    <i>
      <x v="2"/>
    </i>
    <i>
      <x v="3"/>
    </i>
    <i>
      <x v="4"/>
    </i>
    <i>
      <x v="5"/>
    </i>
    <i>
      <x v="6"/>
    </i>
    <i>
      <x v="7"/>
    </i>
    <i>
      <x v="8"/>
    </i>
    <i>
      <x v="9"/>
    </i>
    <i>
      <x v="10"/>
    </i>
    <i>
      <x v="11"/>
    </i>
    <i>
      <x v="12"/>
    </i>
    <i t="grand">
      <x/>
    </i>
  </rowItems>
  <colFields count="1">
    <field x="1"/>
  </colFields>
  <colItems count="2">
    <i>
      <x v="1"/>
    </i>
    <i>
      <x v="2"/>
    </i>
  </colItems>
  <dataFields count="1">
    <dataField name="Emploi  " fld="1" subtotal="count" showDataAs="percentOfRow" baseField="0" baseItem="0" numFmtId="9"/>
  </dataFields>
  <formats count="19">
    <format dxfId="1265">
      <pivotArea outline="0" fieldPosition="0">
        <references count="1">
          <reference field="4294967294" count="1">
            <x v="0"/>
          </reference>
        </references>
      </pivotArea>
    </format>
    <format dxfId="1264">
      <pivotArea type="all" dataOnly="0" outline="0" fieldPosition="0"/>
    </format>
    <format dxfId="1263">
      <pivotArea outline="0" collapsedLevelsAreSubtotals="1" fieldPosition="0"/>
    </format>
    <format dxfId="1262">
      <pivotArea type="origin" dataOnly="0" labelOnly="1" outline="0" fieldPosition="0"/>
    </format>
    <format dxfId="1261">
      <pivotArea field="1" type="button" dataOnly="0" labelOnly="1" outline="0" axis="axisCol" fieldPosition="0"/>
    </format>
    <format dxfId="1260">
      <pivotArea type="topRight" dataOnly="0" labelOnly="1" outline="0" fieldPosition="0"/>
    </format>
    <format dxfId="1259">
      <pivotArea field="10" type="button" dataOnly="0" labelOnly="1" outline="0" axis="axisRow" fieldPosition="0"/>
    </format>
    <format dxfId="1258">
      <pivotArea dataOnly="0" labelOnly="1" outline="0" fieldPosition="0">
        <references count="1">
          <reference field="10" count="11">
            <x v="0"/>
            <x v="1"/>
            <x v="3"/>
            <x v="4"/>
            <x v="5"/>
            <x v="6"/>
            <x v="8"/>
            <x v="9"/>
            <x v="10"/>
            <x v="11"/>
            <x v="12"/>
          </reference>
        </references>
      </pivotArea>
    </format>
    <format dxfId="1257">
      <pivotArea dataOnly="0" labelOnly="1" grandRow="1" outline="0" fieldPosition="0"/>
    </format>
    <format dxfId="1256">
      <pivotArea dataOnly="0" labelOnly="1" outline="0" fieldPosition="0">
        <references count="1">
          <reference field="1" count="0"/>
        </references>
      </pivotArea>
    </format>
    <format dxfId="1255">
      <pivotArea type="all" dataOnly="0" outline="0" fieldPosition="0"/>
    </format>
    <format dxfId="1254">
      <pivotArea outline="0" collapsedLevelsAreSubtotals="1" fieldPosition="0"/>
    </format>
    <format dxfId="1253">
      <pivotArea type="origin" dataOnly="0" labelOnly="1" outline="0" fieldPosition="0"/>
    </format>
    <format dxfId="1252">
      <pivotArea field="1" type="button" dataOnly="0" labelOnly="1" outline="0" axis="axisCol" fieldPosition="0"/>
    </format>
    <format dxfId="1251">
      <pivotArea type="topRight" dataOnly="0" labelOnly="1" outline="0" fieldPosition="0"/>
    </format>
    <format dxfId="1250">
      <pivotArea field="10" type="button" dataOnly="0" labelOnly="1" outline="0" axis="axisRow" fieldPosition="0"/>
    </format>
    <format dxfId="1249">
      <pivotArea dataOnly="0" labelOnly="1" outline="0" fieldPosition="0">
        <references count="1">
          <reference field="10" count="11">
            <x v="0"/>
            <x v="1"/>
            <x v="3"/>
            <x v="4"/>
            <x v="5"/>
            <x v="6"/>
            <x v="8"/>
            <x v="9"/>
            <x v="10"/>
            <x v="11"/>
            <x v="12"/>
          </reference>
        </references>
      </pivotArea>
    </format>
    <format dxfId="1248">
      <pivotArea dataOnly="0" labelOnly="1" grandRow="1" outline="0" fieldPosition="0"/>
    </format>
    <format dxfId="1247">
      <pivotArea dataOnly="0" labelOnly="1" outline="0" fieldPosition="0">
        <references count="1">
          <reference field="1" count="0"/>
        </references>
      </pivotArea>
    </format>
  </formats>
  <chartFormats count="6">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2" format="4" series="1">
      <pivotArea type="data" outline="0" fieldPosition="0">
        <references count="2">
          <reference field="4294967294" count="1" selected="0">
            <x v="0"/>
          </reference>
          <reference field="1" count="1" selected="0">
            <x v="1"/>
          </reference>
        </references>
      </pivotArea>
    </chartFormat>
    <chartFormat chart="2" format="5" series="1">
      <pivotArea type="data" outline="0" fieldPosition="0">
        <references count="2">
          <reference field="4294967294" count="1" selected="0">
            <x v="0"/>
          </reference>
          <reference field="1" count="1" selected="0">
            <x v="2"/>
          </reference>
        </references>
      </pivotArea>
    </chartFormat>
    <chartFormat chart="4" format="3" series="1">
      <pivotArea type="data" outline="0" fieldPosition="0">
        <references count="2">
          <reference field="4294967294" count="1" selected="0">
            <x v="0"/>
          </reference>
          <reference field="1" count="1" selected="0">
            <x v="1"/>
          </reference>
        </references>
      </pivotArea>
    </chartFormat>
    <chartFormat chart="4"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E59A10-9E4A-8147-AC53-4F26FB5C703B}" name="Tableau croisé dynamique20"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234:G239"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axis="axisRow" compact="0" outline="0" subtotalTop="0" showAll="0" includeNewItemsInFilter="1">
      <items count="4">
        <item x="1"/>
        <item x="0"/>
        <item x="2"/>
        <item t="default"/>
      </items>
    </pivotField>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2"/>
  </rowFields>
  <rowItems count="4">
    <i>
      <x/>
    </i>
    <i>
      <x v="1"/>
    </i>
    <i>
      <x v="2"/>
    </i>
    <i t="grand">
      <x/>
    </i>
  </rowItems>
  <colFields count="1">
    <field x="1"/>
  </colFields>
  <colItems count="3">
    <i>
      <x v="1"/>
    </i>
    <i>
      <x v="2"/>
    </i>
    <i t="grand">
      <x/>
    </i>
  </colItems>
  <dataFields count="1">
    <dataField name="NB sur NOM" fld="0" subtotal="count" baseField="0" baseItem="0"/>
  </dataFields>
  <formats count="29">
    <format dxfId="1294">
      <pivotArea field="1" grandRow="1" outline="0" axis="axisCol" fieldPosition="0">
        <references count="1">
          <reference field="1" count="2" selected="0">
            <x v="1"/>
            <x v="2"/>
          </reference>
        </references>
      </pivotArea>
    </format>
    <format dxfId="1293">
      <pivotArea grandRow="1" grandCol="1" outline="0" fieldPosition="0"/>
    </format>
    <format dxfId="1292">
      <pivotArea outline="0" fieldPosition="0"/>
    </format>
    <format dxfId="1291">
      <pivotArea type="all" dataOnly="0" outline="0" fieldPosition="0"/>
    </format>
    <format dxfId="1290">
      <pivotArea type="all" dataOnly="0" outline="0" fieldPosition="0"/>
    </format>
    <format dxfId="1289">
      <pivotArea type="all" dataOnly="0" outline="0" fieldPosition="0"/>
    </format>
    <format dxfId="1288">
      <pivotArea type="all" dataOnly="0" outline="0" fieldPosition="0"/>
    </format>
    <format dxfId="1287">
      <pivotArea type="all" dataOnly="0" outline="0" fieldPosition="0"/>
    </format>
    <format dxfId="1286">
      <pivotArea type="all" dataOnly="0" outline="0" fieldPosition="0"/>
    </format>
    <format dxfId="1285">
      <pivotArea type="all" dataOnly="0" outline="0" fieldPosition="0"/>
    </format>
    <format dxfId="1284">
      <pivotArea outline="0" collapsedLevelsAreSubtotals="1" fieldPosition="0"/>
    </format>
    <format dxfId="1283">
      <pivotArea type="origin" dataOnly="0" labelOnly="1" outline="0" fieldPosition="0"/>
    </format>
    <format dxfId="1282">
      <pivotArea field="1" type="button" dataOnly="0" labelOnly="1" outline="0" axis="axisCol" fieldPosition="0"/>
    </format>
    <format dxfId="1281">
      <pivotArea type="topRight" dataOnly="0" labelOnly="1" outline="0" fieldPosition="0"/>
    </format>
    <format dxfId="1280">
      <pivotArea field="12" type="button" dataOnly="0" labelOnly="1" outline="0" axis="axisRow" fieldPosition="0"/>
    </format>
    <format dxfId="1279">
      <pivotArea dataOnly="0" labelOnly="1" outline="0" fieldPosition="0">
        <references count="1">
          <reference field="12" count="0"/>
        </references>
      </pivotArea>
    </format>
    <format dxfId="1278">
      <pivotArea dataOnly="0" labelOnly="1" grandRow="1" outline="0" fieldPosition="0"/>
    </format>
    <format dxfId="1277">
      <pivotArea dataOnly="0" labelOnly="1" outline="0" fieldPosition="0">
        <references count="1">
          <reference field="1" count="0"/>
        </references>
      </pivotArea>
    </format>
    <format dxfId="1276">
      <pivotArea dataOnly="0" labelOnly="1" grandCol="1" outline="0" fieldPosition="0"/>
    </format>
    <format dxfId="1275">
      <pivotArea type="all" dataOnly="0" outline="0" fieldPosition="0"/>
    </format>
    <format dxfId="1274">
      <pivotArea outline="0" collapsedLevelsAreSubtotals="1" fieldPosition="0"/>
    </format>
    <format dxfId="1273">
      <pivotArea type="origin" dataOnly="0" labelOnly="1" outline="0" fieldPosition="0"/>
    </format>
    <format dxfId="1272">
      <pivotArea field="1" type="button" dataOnly="0" labelOnly="1" outline="0" axis="axisCol" fieldPosition="0"/>
    </format>
    <format dxfId="1271">
      <pivotArea type="topRight" dataOnly="0" labelOnly="1" outline="0" fieldPosition="0"/>
    </format>
    <format dxfId="1270">
      <pivotArea field="12" type="button" dataOnly="0" labelOnly="1" outline="0" axis="axisRow" fieldPosition="0"/>
    </format>
    <format dxfId="1269">
      <pivotArea dataOnly="0" labelOnly="1" outline="0" fieldPosition="0">
        <references count="1">
          <reference field="12" count="0"/>
        </references>
      </pivotArea>
    </format>
    <format dxfId="1268">
      <pivotArea dataOnly="0" labelOnly="1" grandRow="1" outline="0" fieldPosition="0"/>
    </format>
    <format dxfId="1267">
      <pivotArea dataOnly="0" labelOnly="1" outline="0" fieldPosition="0">
        <references count="1">
          <reference field="1" count="0"/>
        </references>
      </pivotArea>
    </format>
    <format dxfId="1266">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FFEFF608-4340-A04C-AA0A-D06B9DB51F03}" name="Tableau croisé dynamique23"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1">
  <location ref="V234:Y238"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axis="axisCol" compact="0" outline="0" subtotalTop="0" showAll="0" includeNewItemsInFilter="1">
      <items count="4">
        <item x="1"/>
        <item x="0"/>
        <item x="2"/>
        <item t="default"/>
      </items>
    </pivotField>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12"/>
  </colFields>
  <colItems count="3">
    <i>
      <x/>
    </i>
    <i>
      <x v="1"/>
    </i>
    <i>
      <x v="2"/>
    </i>
  </colItems>
  <dataFields count="1">
    <dataField name="NB sur NOM" fld="0" subtotal="count" showDataAs="percentOfRow" baseField="0" baseItem="0" numFmtId="9"/>
  </dataFields>
  <formats count="21">
    <format dxfId="1315">
      <pivotArea type="all" dataOnly="0" outline="0" fieldPosition="0"/>
    </format>
    <format dxfId="1314">
      <pivotArea type="all" dataOnly="0" outline="0" fieldPosition="0"/>
    </format>
    <format dxfId="1313">
      <pivotArea outline="0" collapsedLevelsAreSubtotals="1" fieldPosition="0"/>
    </format>
    <format dxfId="1312">
      <pivotArea type="origin" dataOnly="0" labelOnly="1" outline="0" fieldPosition="0"/>
    </format>
    <format dxfId="1311">
      <pivotArea field="12" type="button" dataOnly="0" labelOnly="1" outline="0" axis="axisCol" fieldPosition="0"/>
    </format>
    <format dxfId="1310">
      <pivotArea type="topRight" dataOnly="0" labelOnly="1" outline="0" fieldPosition="0"/>
    </format>
    <format dxfId="1309">
      <pivotArea field="1" type="button" dataOnly="0" labelOnly="1" outline="0" axis="axisRow" fieldPosition="0"/>
    </format>
    <format dxfId="1308">
      <pivotArea dataOnly="0" labelOnly="1" outline="0" fieldPosition="0">
        <references count="1">
          <reference field="1" count="0"/>
        </references>
      </pivotArea>
    </format>
    <format dxfId="1307">
      <pivotArea dataOnly="0" labelOnly="1" grandRow="1" outline="0" fieldPosition="0"/>
    </format>
    <format dxfId="1306">
      <pivotArea dataOnly="0" labelOnly="1" outline="0" fieldPosition="0">
        <references count="1">
          <reference field="12" count="0"/>
        </references>
      </pivotArea>
    </format>
    <format dxfId="1305">
      <pivotArea dataOnly="0" labelOnly="1" grandCol="1" outline="0" fieldPosition="0"/>
    </format>
    <format dxfId="1304">
      <pivotArea type="all" dataOnly="0" outline="0" fieldPosition="0"/>
    </format>
    <format dxfId="1303">
      <pivotArea outline="0" collapsedLevelsAreSubtotals="1" fieldPosition="0"/>
    </format>
    <format dxfId="1302">
      <pivotArea type="origin" dataOnly="0" labelOnly="1" outline="0" fieldPosition="0"/>
    </format>
    <format dxfId="1301">
      <pivotArea field="12" type="button" dataOnly="0" labelOnly="1" outline="0" axis="axisCol" fieldPosition="0"/>
    </format>
    <format dxfId="1300">
      <pivotArea type="topRight" dataOnly="0" labelOnly="1" outline="0" fieldPosition="0"/>
    </format>
    <format dxfId="1299">
      <pivotArea field="1" type="button" dataOnly="0" labelOnly="1" outline="0" axis="axisRow" fieldPosition="0"/>
    </format>
    <format dxfId="1298">
      <pivotArea dataOnly="0" labelOnly="1" outline="0" fieldPosition="0">
        <references count="1">
          <reference field="1" count="0"/>
        </references>
      </pivotArea>
    </format>
    <format dxfId="1297">
      <pivotArea dataOnly="0" labelOnly="1" grandRow="1" outline="0" fieldPosition="0"/>
    </format>
    <format dxfId="1296">
      <pivotArea dataOnly="0" labelOnly="1" outline="0" fieldPosition="0">
        <references count="1">
          <reference field="12" count="0"/>
        </references>
      </pivotArea>
    </format>
    <format dxfId="1295">
      <pivotArea dataOnly="0" labelOnly="1" grandCol="1" outline="0" fieldPosition="0"/>
    </format>
  </formats>
  <chartFormats count="3">
    <chartFormat chart="0" format="21" series="1">
      <pivotArea type="data" outline="0" fieldPosition="0">
        <references count="2">
          <reference field="4294967294" count="1" selected="0">
            <x v="0"/>
          </reference>
          <reference field="12" count="1" selected="0">
            <x v="0"/>
          </reference>
        </references>
      </pivotArea>
    </chartFormat>
    <chartFormat chart="0" format="22" series="1">
      <pivotArea type="data" outline="0" fieldPosition="0">
        <references count="2">
          <reference field="4294967294" count="1" selected="0">
            <x v="0"/>
          </reference>
          <reference field="12" count="1" selected="0">
            <x v="1"/>
          </reference>
        </references>
      </pivotArea>
    </chartFormat>
    <chartFormat chart="0" format="23" series="1">
      <pivotArea type="data" outline="0" fieldPosition="0">
        <references count="2">
          <reference field="4294967294" count="1" selected="0">
            <x v="0"/>
          </reference>
          <reference field="12"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2142D90-AEAF-054A-8965-DBA792848F40}" name="Tableau croisé dynamique17"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1">
  <location ref="V189:X195"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axis="axisRow" compact="0" outline="0" subtotalTop="0" showAll="0" includeNewItemsInFilter="1" sortType="ascending"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9"/>
  </rowFields>
  <rowItems count="5">
    <i>
      <x v="2"/>
    </i>
    <i>
      <x v="4"/>
    </i>
    <i>
      <x v="6"/>
    </i>
    <i>
      <x v="8"/>
    </i>
    <i t="grand">
      <x/>
    </i>
  </rowItems>
  <colFields count="1">
    <field x="1"/>
  </colFields>
  <colItems count="2">
    <i>
      <x v="1"/>
    </i>
    <i>
      <x v="2"/>
    </i>
  </colItems>
  <dataFields count="1">
    <dataField name="NB sur NOM" fld="0" subtotal="count" showDataAs="percentOfRow" baseField="0" baseItem="0" numFmtId="9"/>
  </dataFields>
  <formats count="26">
    <format dxfId="1341">
      <pivotArea field="1" grandRow="1" outline="0" axis="axisCol" fieldPosition="0">
        <references count="1">
          <reference field="1" count="2" selected="0">
            <x v="1"/>
            <x v="2"/>
          </reference>
        </references>
      </pivotArea>
    </format>
    <format dxfId="1340">
      <pivotArea field="1" grandRow="1" outline="0" axis="axisCol" fieldPosition="0">
        <references count="1">
          <reference field="1" count="2" selected="0">
            <x v="1"/>
            <x v="2"/>
          </reference>
        </references>
      </pivotArea>
    </format>
    <format dxfId="1339">
      <pivotArea field="1" grandRow="1" outline="0" axis="axisCol" fieldPosition="0">
        <references count="1">
          <reference field="1" count="2" selected="0">
            <x v="1"/>
            <x v="2"/>
          </reference>
        </references>
      </pivotArea>
    </format>
    <format dxfId="1338">
      <pivotArea field="1" grandRow="1" outline="0" axis="axisCol" fieldPosition="0">
        <references count="1">
          <reference field="1" count="2" selected="0">
            <x v="1"/>
            <x v="2"/>
          </reference>
        </references>
      </pivotArea>
    </format>
    <format dxfId="1337">
      <pivotArea outline="0" fieldPosition="0">
        <references count="1">
          <reference field="1" count="2" selected="0">
            <x v="1"/>
            <x v="2"/>
          </reference>
        </references>
      </pivotArea>
    </format>
    <format dxfId="1336">
      <pivotArea type="all" dataOnly="0" outline="0" fieldPosition="0"/>
    </format>
    <format dxfId="1335">
      <pivotArea type="all" dataOnly="0" outline="0" fieldPosition="0"/>
    </format>
    <format dxfId="1334">
      <pivotArea outline="0" collapsedLevelsAreSubtotals="1" fieldPosition="0"/>
    </format>
    <format dxfId="1333">
      <pivotArea type="origin" dataOnly="0" labelOnly="1" outline="0" fieldPosition="0"/>
    </format>
    <format dxfId="1332">
      <pivotArea field="1" type="button" dataOnly="0" labelOnly="1" outline="0" axis="axisCol" fieldPosition="0"/>
    </format>
    <format dxfId="1331">
      <pivotArea type="topRight" dataOnly="0" labelOnly="1" outline="0" fieldPosition="0"/>
    </format>
    <format dxfId="1330">
      <pivotArea field="29" type="button" dataOnly="0" labelOnly="1" outline="0" axis="axisRow" fieldPosition="0"/>
    </format>
    <format dxfId="1329">
      <pivotArea dataOnly="0" labelOnly="1" outline="0" fieldPosition="0">
        <references count="1">
          <reference field="29" count="0"/>
        </references>
      </pivotArea>
    </format>
    <format dxfId="1328">
      <pivotArea dataOnly="0" labelOnly="1" grandRow="1" outline="0" fieldPosition="0"/>
    </format>
    <format dxfId="1327">
      <pivotArea dataOnly="0" labelOnly="1" outline="0" fieldPosition="0">
        <references count="1">
          <reference field="1" count="0"/>
        </references>
      </pivotArea>
    </format>
    <format dxfId="1326">
      <pivotArea dataOnly="0" labelOnly="1" grandCol="1" outline="0" fieldPosition="0"/>
    </format>
    <format dxfId="1325">
      <pivotArea type="all" dataOnly="0" outline="0" fieldPosition="0"/>
    </format>
    <format dxfId="1324">
      <pivotArea outline="0" collapsedLevelsAreSubtotals="1" fieldPosition="0"/>
    </format>
    <format dxfId="1323">
      <pivotArea type="origin" dataOnly="0" labelOnly="1" outline="0" fieldPosition="0"/>
    </format>
    <format dxfId="1322">
      <pivotArea field="1" type="button" dataOnly="0" labelOnly="1" outline="0" axis="axisCol" fieldPosition="0"/>
    </format>
    <format dxfId="1321">
      <pivotArea type="topRight" dataOnly="0" labelOnly="1" outline="0" fieldPosition="0"/>
    </format>
    <format dxfId="1320">
      <pivotArea field="29" type="button" dataOnly="0" labelOnly="1" outline="0" axis="axisRow" fieldPosition="0"/>
    </format>
    <format dxfId="1319">
      <pivotArea dataOnly="0" labelOnly="1" outline="0" fieldPosition="0">
        <references count="1">
          <reference field="29" count="0"/>
        </references>
      </pivotArea>
    </format>
    <format dxfId="1318">
      <pivotArea dataOnly="0" labelOnly="1" grandRow="1" outline="0" fieldPosition="0"/>
    </format>
    <format dxfId="1317">
      <pivotArea dataOnly="0" labelOnly="1" outline="0" fieldPosition="0">
        <references count="1">
          <reference field="1" count="0"/>
        </references>
      </pivotArea>
    </format>
    <format dxfId="1316">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9FB4E887-E48D-8C49-95FA-B1EFC7472232}" name="Tableau croisé dynamique6" cacheId="164" dataOnRows="1" autoFormatId="0" applyNumberFormats="0" applyBorderFormats="0" applyFontFormats="0" applyPatternFormats="0" applyAlignmentFormats="0" applyWidthHeightFormats="1" dataCaption="Données" grandTotalCaption="Ensemble" updatedVersion="6" minRefreshableVersion="3" showMultipleLabel="0" showMemberPropertyTips="0" createdVersion="6" indent="0" compact="0" compactData="0" gridDropZones="1" chartFormat="1">
  <location ref="D25:G30" firstHeaderRow="1" firstDataRow="2" firstDataCol="1"/>
  <pivotFields count="36">
    <pivotField dataField="1" compact="0" outline="0" subtotalTop="0" showAll="0" includeNewItemsInFilter="1"/>
    <pivotField axis="axisCol" compact="0" outline="0" subtotalTop="0" showAll="0" includeNewItemsInFilter="1" sortType="descending">
      <items count="4">
        <item h="1"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axis="axisRow" compact="0" outline="0" subtotalTop="0" showAll="0" includeNewItemsInFilter="1">
      <items count="5">
        <item x="0"/>
        <item x="1"/>
        <item x="2"/>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9" outline="0" subtotalTop="0" showAll="0" defaultSubtotal="0"/>
    <pivotField compact="0" numFmtId="1" outline="0" subtotalTop="0" showAll="0" includeNewItemsInFilter="1" defaultSubtotal="0"/>
    <pivotField compact="0"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8"/>
  </rowFields>
  <rowItems count="4">
    <i>
      <x/>
    </i>
    <i>
      <x v="1"/>
    </i>
    <i>
      <x v="2"/>
    </i>
    <i t="grand">
      <x/>
    </i>
  </rowItems>
  <colFields count="1">
    <field x="1"/>
  </colFields>
  <colItems count="3">
    <i>
      <x v="1"/>
    </i>
    <i>
      <x v="2"/>
    </i>
    <i t="grand">
      <x/>
    </i>
  </colItems>
  <dataFields count="1">
    <dataField name="NB sur NOM" fld="0" subtotal="count" baseField="0" baseItem="0"/>
  </dataFields>
  <formats count="41">
    <format dxfId="1382">
      <pivotArea field="1" grandRow="1" outline="0" axis="axisCol" fieldPosition="0">
        <references count="1">
          <reference field="1" count="2" selected="0">
            <x v="1"/>
            <x v="2"/>
          </reference>
        </references>
      </pivotArea>
    </format>
    <format dxfId="1381">
      <pivotArea grandRow="1" grandCol="1" outline="0" fieldPosition="0"/>
    </format>
    <format dxfId="1380">
      <pivotArea outline="0" fieldPosition="0"/>
    </format>
    <format dxfId="1379">
      <pivotArea type="all" dataOnly="0" outline="0" fieldPosition="0"/>
    </format>
    <format dxfId="1378">
      <pivotArea type="all" dataOnly="0" outline="0" fieldPosition="0"/>
    </format>
    <format dxfId="1377">
      <pivotArea type="all" dataOnly="0" outline="0" fieldPosition="0"/>
    </format>
    <format dxfId="1376">
      <pivotArea type="all" dataOnly="0" outline="0" fieldPosition="0"/>
    </format>
    <format dxfId="1375">
      <pivotArea type="all" dataOnly="0" outline="0" fieldPosition="0"/>
    </format>
    <format dxfId="1374">
      <pivotArea type="all" dataOnly="0" outline="0" fieldPosition="0"/>
    </format>
    <format dxfId="1373">
      <pivotArea type="all" dataOnly="0" outline="0" fieldPosition="0"/>
    </format>
    <format dxfId="1372">
      <pivotArea outline="0" fieldPosition="0"/>
    </format>
    <format dxfId="1371">
      <pivotArea type="origin" dataOnly="0" labelOnly="1" outline="0" fieldPosition="0"/>
    </format>
    <format dxfId="1370">
      <pivotArea field="1" type="button" dataOnly="0" labelOnly="1" outline="0" axis="axisCol" fieldPosition="0"/>
    </format>
    <format dxfId="1369">
      <pivotArea type="topRight" dataOnly="0" labelOnly="1" outline="0" fieldPosition="0"/>
    </format>
    <format dxfId="1368">
      <pivotArea field="8" type="button" dataOnly="0" labelOnly="1" outline="0" axis="axisRow" fieldPosition="0"/>
    </format>
    <format dxfId="1367">
      <pivotArea dataOnly="0" labelOnly="1" outline="0" fieldPosition="0">
        <references count="1">
          <reference field="8" count="0"/>
        </references>
      </pivotArea>
    </format>
    <format dxfId="1366">
      <pivotArea dataOnly="0" labelOnly="1" grandRow="1" outline="0" fieldPosition="0"/>
    </format>
    <format dxfId="1365">
      <pivotArea dataOnly="0" labelOnly="1" outline="0" fieldPosition="0">
        <references count="1">
          <reference field="1" count="0"/>
        </references>
      </pivotArea>
    </format>
    <format dxfId="1364">
      <pivotArea dataOnly="0" labelOnly="1" grandCol="1" outline="0" fieldPosition="0"/>
    </format>
    <format dxfId="1363">
      <pivotArea type="all" dataOnly="0" outline="0" fieldPosition="0"/>
    </format>
    <format dxfId="1362">
      <pivotArea outline="0" fieldPosition="0"/>
    </format>
    <format dxfId="1361">
      <pivotArea type="origin" dataOnly="0" labelOnly="1" outline="0" fieldPosition="0"/>
    </format>
    <format dxfId="1360">
      <pivotArea field="1" type="button" dataOnly="0" labelOnly="1" outline="0" axis="axisCol" fieldPosition="0"/>
    </format>
    <format dxfId="1359">
      <pivotArea type="topRight" dataOnly="0" labelOnly="1" outline="0" fieldPosition="0"/>
    </format>
    <format dxfId="1358">
      <pivotArea field="8" type="button" dataOnly="0" labelOnly="1" outline="0" axis="axisRow" fieldPosition="0"/>
    </format>
    <format dxfId="1357">
      <pivotArea dataOnly="0" labelOnly="1" outline="0" fieldPosition="0">
        <references count="1">
          <reference field="8" count="0"/>
        </references>
      </pivotArea>
    </format>
    <format dxfId="1356">
      <pivotArea dataOnly="0" labelOnly="1" grandRow="1" outline="0" fieldPosition="0"/>
    </format>
    <format dxfId="1355">
      <pivotArea dataOnly="0" labelOnly="1" outline="0" fieldPosition="0">
        <references count="1">
          <reference field="1" count="0"/>
        </references>
      </pivotArea>
    </format>
    <format dxfId="1354">
      <pivotArea dataOnly="0" labelOnly="1" grandCol="1" outline="0" fieldPosition="0"/>
    </format>
    <format dxfId="1353">
      <pivotArea dataOnly="0" labelOnly="1" outline="0" fieldPosition="0">
        <references count="1">
          <reference field="1" count="0"/>
        </references>
      </pivotArea>
    </format>
    <format dxfId="1352">
      <pivotArea dataOnly="0" labelOnly="1" grandCol="1" outline="0" fieldPosition="0"/>
    </format>
    <format dxfId="1351">
      <pivotArea type="all" dataOnly="0" outline="0" fieldPosition="0"/>
    </format>
    <format dxfId="1350">
      <pivotArea outline="0" collapsedLevelsAreSubtotals="1" fieldPosition="0"/>
    </format>
    <format dxfId="1349">
      <pivotArea type="origin" dataOnly="0" labelOnly="1" outline="0" fieldPosition="0"/>
    </format>
    <format dxfId="1348">
      <pivotArea field="1" type="button" dataOnly="0" labelOnly="1" outline="0" axis="axisCol" fieldPosition="0"/>
    </format>
    <format dxfId="1347">
      <pivotArea type="topRight" dataOnly="0" labelOnly="1" outline="0" fieldPosition="0"/>
    </format>
    <format dxfId="1346">
      <pivotArea field="8" type="button" dataOnly="0" labelOnly="1" outline="0" axis="axisRow" fieldPosition="0"/>
    </format>
    <format dxfId="1345">
      <pivotArea dataOnly="0" labelOnly="1" outline="0" fieldPosition="0">
        <references count="1">
          <reference field="8" count="3">
            <x v="0"/>
            <x v="1"/>
            <x v="2"/>
          </reference>
        </references>
      </pivotArea>
    </format>
    <format dxfId="1344">
      <pivotArea dataOnly="0" labelOnly="1" grandRow="1" outline="0" fieldPosition="0"/>
    </format>
    <format dxfId="1343">
      <pivotArea dataOnly="0" labelOnly="1" outline="0" fieldPosition="0">
        <references count="1">
          <reference field="1" count="0"/>
        </references>
      </pivotArea>
    </format>
    <format dxfId="1342">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45DB4CAA-549C-D044-9362-81AAEC0348F1}" name="Tableau croisé dynamique21"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1">
  <location ref="M234:O239"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axis="axisRow" compact="0" outline="0" subtotalTop="0" showAll="0" includeNewItemsInFilter="1">
      <items count="4">
        <item x="1"/>
        <item x="0"/>
        <item x="2"/>
        <item t="default"/>
      </items>
    </pivotField>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2"/>
  </rowFields>
  <rowItems count="4">
    <i>
      <x/>
    </i>
    <i>
      <x v="1"/>
    </i>
    <i>
      <x v="2"/>
    </i>
    <i t="grand">
      <x/>
    </i>
  </rowItems>
  <colFields count="1">
    <field x="1"/>
  </colFields>
  <colItems count="2">
    <i>
      <x v="1"/>
    </i>
    <i>
      <x v="2"/>
    </i>
  </colItems>
  <dataFields count="1">
    <dataField name="NB sur NOM" fld="0" subtotal="count" showDataAs="percentOfRow" baseField="0" baseItem="0" numFmtId="9"/>
  </dataFields>
  <formats count="26">
    <format dxfId="1408">
      <pivotArea field="1" grandRow="1" outline="0" axis="axisCol" fieldPosition="0">
        <references count="1">
          <reference field="1" count="2" selected="0">
            <x v="1"/>
            <x v="2"/>
          </reference>
        </references>
      </pivotArea>
    </format>
    <format dxfId="1407">
      <pivotArea field="1" grandRow="1" outline="0" axis="axisCol" fieldPosition="0">
        <references count="1">
          <reference field="1" count="2" selected="0">
            <x v="1"/>
            <x v="2"/>
          </reference>
        </references>
      </pivotArea>
    </format>
    <format dxfId="1406">
      <pivotArea field="1" grandRow="1" outline="0" axis="axisCol" fieldPosition="0">
        <references count="1">
          <reference field="1" count="2" selected="0">
            <x v="1"/>
            <x v="2"/>
          </reference>
        </references>
      </pivotArea>
    </format>
    <format dxfId="1405">
      <pivotArea field="1" grandRow="1" outline="0" axis="axisCol" fieldPosition="0">
        <references count="1">
          <reference field="1" count="2" selected="0">
            <x v="1"/>
            <x v="2"/>
          </reference>
        </references>
      </pivotArea>
    </format>
    <format dxfId="1404">
      <pivotArea outline="0" fieldPosition="0">
        <references count="1">
          <reference field="1" count="2" selected="0">
            <x v="1"/>
            <x v="2"/>
          </reference>
        </references>
      </pivotArea>
    </format>
    <format dxfId="1403">
      <pivotArea type="all" dataOnly="0" outline="0" fieldPosition="0"/>
    </format>
    <format dxfId="1402">
      <pivotArea type="all" dataOnly="0" outline="0" fieldPosition="0"/>
    </format>
    <format dxfId="1401">
      <pivotArea outline="0" collapsedLevelsAreSubtotals="1" fieldPosition="0"/>
    </format>
    <format dxfId="1400">
      <pivotArea type="origin" dataOnly="0" labelOnly="1" outline="0" fieldPosition="0"/>
    </format>
    <format dxfId="1399">
      <pivotArea field="1" type="button" dataOnly="0" labelOnly="1" outline="0" axis="axisCol" fieldPosition="0"/>
    </format>
    <format dxfId="1398">
      <pivotArea type="topRight" dataOnly="0" labelOnly="1" outline="0" fieldPosition="0"/>
    </format>
    <format dxfId="1397">
      <pivotArea field="12" type="button" dataOnly="0" labelOnly="1" outline="0" axis="axisRow" fieldPosition="0"/>
    </format>
    <format dxfId="1396">
      <pivotArea dataOnly="0" labelOnly="1" outline="0" fieldPosition="0">
        <references count="1">
          <reference field="12" count="0"/>
        </references>
      </pivotArea>
    </format>
    <format dxfId="1395">
      <pivotArea dataOnly="0" labelOnly="1" grandRow="1" outline="0" fieldPosition="0"/>
    </format>
    <format dxfId="1394">
      <pivotArea dataOnly="0" labelOnly="1" outline="0" fieldPosition="0">
        <references count="1">
          <reference field="1" count="0"/>
        </references>
      </pivotArea>
    </format>
    <format dxfId="1393">
      <pivotArea dataOnly="0" labelOnly="1" grandCol="1" outline="0" fieldPosition="0"/>
    </format>
    <format dxfId="1392">
      <pivotArea type="all" dataOnly="0" outline="0" fieldPosition="0"/>
    </format>
    <format dxfId="1391">
      <pivotArea outline="0" collapsedLevelsAreSubtotals="1" fieldPosition="0"/>
    </format>
    <format dxfId="1390">
      <pivotArea type="origin" dataOnly="0" labelOnly="1" outline="0" fieldPosition="0"/>
    </format>
    <format dxfId="1389">
      <pivotArea field="1" type="button" dataOnly="0" labelOnly="1" outline="0" axis="axisCol" fieldPosition="0"/>
    </format>
    <format dxfId="1388">
      <pivotArea type="topRight" dataOnly="0" labelOnly="1" outline="0" fieldPosition="0"/>
    </format>
    <format dxfId="1387">
      <pivotArea field="12" type="button" dataOnly="0" labelOnly="1" outline="0" axis="axisRow" fieldPosition="0"/>
    </format>
    <format dxfId="1386">
      <pivotArea dataOnly="0" labelOnly="1" outline="0" fieldPosition="0">
        <references count="1">
          <reference field="12" count="0"/>
        </references>
      </pivotArea>
    </format>
    <format dxfId="1385">
      <pivotArea dataOnly="0" labelOnly="1" grandRow="1" outline="0" fieldPosition="0"/>
    </format>
    <format dxfId="1384">
      <pivotArea dataOnly="0" labelOnly="1" outline="0" fieldPosition="0">
        <references count="1">
          <reference field="1" count="0"/>
        </references>
      </pivotArea>
    </format>
    <format dxfId="1383">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5E391DA-0A24-3B4B-AC81-8E3C7C5F2EEB}" name="Tableau croisé dynamique6"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O38:O50"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axis="axisRow" showAll="0">
      <items count="15">
        <item x="8"/>
        <item x="11"/>
        <item x="9"/>
        <item x="4"/>
        <item x="7"/>
        <item x="1"/>
        <item x="5"/>
        <item x="10"/>
        <item x="12"/>
        <item x="0"/>
        <item x="2"/>
        <item x="6"/>
        <item x="3"/>
        <item m="1" x="13"/>
        <item t="default"/>
      </items>
    </pivotField>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10"/>
  </rowFields>
  <rowItems count="13">
    <i>
      <x/>
    </i>
    <i>
      <x v="1"/>
    </i>
    <i>
      <x v="2"/>
    </i>
    <i>
      <x v="3"/>
    </i>
    <i>
      <x v="4"/>
    </i>
    <i>
      <x v="5"/>
    </i>
    <i>
      <x v="6"/>
    </i>
    <i>
      <x v="7"/>
    </i>
    <i>
      <x v="8"/>
    </i>
    <i>
      <x v="9"/>
    </i>
    <i>
      <x v="10"/>
    </i>
    <i>
      <x v="11"/>
    </i>
    <i>
      <x v="12"/>
    </i>
  </rowItems>
  <colItems count="1">
    <i/>
  </colItems>
  <formats count="1">
    <format dxfId="1750">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B2256D6A-0F11-904F-8E78-C5028F6F6D54}" name="Tableau croisé dynamique14"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148:G154"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NB sur NOM" fld="0" subtotal="count" baseField="0" baseItem="0"/>
  </dataFields>
  <formats count="51">
    <format dxfId="1459">
      <pivotArea field="1" grandRow="1" outline="0" axis="axisCol" fieldPosition="0">
        <references count="1">
          <reference field="1" count="2" selected="0">
            <x v="1"/>
            <x v="2"/>
          </reference>
        </references>
      </pivotArea>
    </format>
    <format dxfId="1458">
      <pivotArea field="5" grandCol="1" outline="0" axis="axisRow" fieldPosition="0">
        <references count="1">
          <reference field="5" count="0" selected="0"/>
        </references>
      </pivotArea>
    </format>
    <format dxfId="1457">
      <pivotArea grandRow="1" grandCol="1" outline="0" fieldPosition="0"/>
    </format>
    <format dxfId="1456">
      <pivotArea outline="0" fieldPosition="0">
        <references count="2">
          <reference field="1" count="2" selected="0">
            <x v="1"/>
            <x v="2"/>
          </reference>
          <reference field="5" count="0" selected="0"/>
        </references>
      </pivotArea>
    </format>
    <format dxfId="1455">
      <pivotArea outline="0" fieldPosition="0"/>
    </format>
    <format dxfId="1454">
      <pivotArea type="all" dataOnly="0" outline="0" fieldPosition="0"/>
    </format>
    <format dxfId="1453">
      <pivotArea type="all" dataOnly="0" outline="0" fieldPosition="0"/>
    </format>
    <format dxfId="1452">
      <pivotArea outline="0" fieldPosition="0">
        <references count="2">
          <reference field="1" count="1" selected="0">
            <x v="1"/>
          </reference>
          <reference field="5" count="1" selected="0">
            <x v="5"/>
          </reference>
        </references>
      </pivotArea>
    </format>
    <format dxfId="1451">
      <pivotArea type="all" dataOnly="0" outline="0" fieldPosition="0"/>
    </format>
    <format dxfId="1450">
      <pivotArea type="all" dataOnly="0" outline="0" fieldPosition="0"/>
    </format>
    <format dxfId="1449">
      <pivotArea type="all" dataOnly="0" outline="0" fieldPosition="0"/>
    </format>
    <format dxfId="1448">
      <pivotArea type="all" dataOnly="0" outline="0" fieldPosition="0"/>
    </format>
    <format dxfId="1447">
      <pivotArea outline="0" fieldPosition="0"/>
    </format>
    <format dxfId="1446">
      <pivotArea type="origin" dataOnly="0" labelOnly="1" outline="0" fieldPosition="0"/>
    </format>
    <format dxfId="1445">
      <pivotArea field="1" type="button" dataOnly="0" labelOnly="1" outline="0" axis="axisCol" fieldPosition="0"/>
    </format>
    <format dxfId="1444">
      <pivotArea type="topRight" dataOnly="0" labelOnly="1" outline="0" fieldPosition="0"/>
    </format>
    <format dxfId="1443">
      <pivotArea field="5" type="button" dataOnly="0" labelOnly="1" outline="0" axis="axisRow" fieldPosition="0"/>
    </format>
    <format dxfId="1442">
      <pivotArea dataOnly="0" labelOnly="1" outline="0" fieldPosition="0">
        <references count="1">
          <reference field="5" count="0"/>
        </references>
      </pivotArea>
    </format>
    <format dxfId="1441">
      <pivotArea dataOnly="0" labelOnly="1" grandRow="1" outline="0" fieldPosition="0"/>
    </format>
    <format dxfId="1440">
      <pivotArea dataOnly="0" labelOnly="1" outline="0" fieldPosition="0">
        <references count="1">
          <reference field="1" count="0"/>
        </references>
      </pivotArea>
    </format>
    <format dxfId="1439">
      <pivotArea dataOnly="0" labelOnly="1" grandCol="1" outline="0" fieldPosition="0"/>
    </format>
    <format dxfId="1438">
      <pivotArea type="all" dataOnly="0" outline="0" fieldPosition="0"/>
    </format>
    <format dxfId="1437">
      <pivotArea outline="0" collapsedLevelsAreSubtotals="1" fieldPosition="0"/>
    </format>
    <format dxfId="1436">
      <pivotArea type="origin" dataOnly="0" labelOnly="1" outline="0" fieldPosition="0"/>
    </format>
    <format dxfId="1435">
      <pivotArea field="1" type="button" dataOnly="0" labelOnly="1" outline="0" axis="axisCol" fieldPosition="0"/>
    </format>
    <format dxfId="1434">
      <pivotArea type="topRight" dataOnly="0" labelOnly="1" outline="0" fieldPosition="0"/>
    </format>
    <format dxfId="1433">
      <pivotArea field="5" type="button" dataOnly="0" labelOnly="1" outline="0" axis="axisRow" fieldPosition="0"/>
    </format>
    <format dxfId="1432">
      <pivotArea dataOnly="0" labelOnly="1" outline="0" fieldPosition="0">
        <references count="1">
          <reference field="5" count="0"/>
        </references>
      </pivotArea>
    </format>
    <format dxfId="1431">
      <pivotArea dataOnly="0" labelOnly="1" grandRow="1" outline="0" fieldPosition="0"/>
    </format>
    <format dxfId="1430">
      <pivotArea dataOnly="0" labelOnly="1" outline="0" fieldPosition="0">
        <references count="1">
          <reference field="1" count="0"/>
        </references>
      </pivotArea>
    </format>
    <format dxfId="1429">
      <pivotArea dataOnly="0" labelOnly="1" grandCol="1" outline="0" fieldPosition="0"/>
    </format>
    <format dxfId="1428">
      <pivotArea type="all" dataOnly="0" outline="0" fieldPosition="0"/>
    </format>
    <format dxfId="1427">
      <pivotArea outline="0" collapsedLevelsAreSubtotals="1" fieldPosition="0"/>
    </format>
    <format dxfId="1426">
      <pivotArea type="origin" dataOnly="0" labelOnly="1" outline="0" fieldPosition="0"/>
    </format>
    <format dxfId="1425">
      <pivotArea field="1" type="button" dataOnly="0" labelOnly="1" outline="0" axis="axisCol" fieldPosition="0"/>
    </format>
    <format dxfId="1424">
      <pivotArea type="topRight" dataOnly="0" labelOnly="1" outline="0" fieldPosition="0"/>
    </format>
    <format dxfId="1423">
      <pivotArea field="5" type="button" dataOnly="0" labelOnly="1" outline="0" axis="axisRow" fieldPosition="0"/>
    </format>
    <format dxfId="1422">
      <pivotArea dataOnly="0" labelOnly="1" outline="0" fieldPosition="0">
        <references count="1">
          <reference field="5" count="0"/>
        </references>
      </pivotArea>
    </format>
    <format dxfId="1421">
      <pivotArea dataOnly="0" labelOnly="1" grandRow="1" outline="0" fieldPosition="0"/>
    </format>
    <format dxfId="1420">
      <pivotArea dataOnly="0" labelOnly="1" outline="0" fieldPosition="0">
        <references count="1">
          <reference field="1" count="0"/>
        </references>
      </pivotArea>
    </format>
    <format dxfId="1419">
      <pivotArea dataOnly="0" labelOnly="1" grandCol="1" outline="0" fieldPosition="0"/>
    </format>
    <format dxfId="1418">
      <pivotArea type="all" dataOnly="0" outline="0" fieldPosition="0"/>
    </format>
    <format dxfId="1417">
      <pivotArea outline="0" collapsedLevelsAreSubtotals="1" fieldPosition="0"/>
    </format>
    <format dxfId="1416">
      <pivotArea type="origin" dataOnly="0" labelOnly="1" outline="0" fieldPosition="0"/>
    </format>
    <format dxfId="1415">
      <pivotArea field="1" type="button" dataOnly="0" labelOnly="1" outline="0" axis="axisCol" fieldPosition="0"/>
    </format>
    <format dxfId="1414">
      <pivotArea type="topRight" dataOnly="0" labelOnly="1" outline="0" fieldPosition="0"/>
    </format>
    <format dxfId="1413">
      <pivotArea field="5" type="button" dataOnly="0" labelOnly="1" outline="0" axis="axisRow" fieldPosition="0"/>
    </format>
    <format dxfId="1412">
      <pivotArea dataOnly="0" labelOnly="1" outline="0" fieldPosition="0">
        <references count="1">
          <reference field="5" count="0"/>
        </references>
      </pivotArea>
    </format>
    <format dxfId="1411">
      <pivotArea dataOnly="0" labelOnly="1" grandRow="1" outline="0" fieldPosition="0"/>
    </format>
    <format dxfId="1410">
      <pivotArea dataOnly="0" labelOnly="1" outline="0" fieldPosition="0">
        <references count="1">
          <reference field="1" count="0"/>
        </references>
      </pivotArea>
    </format>
    <format dxfId="1409">
      <pivotArea dataOnly="0" labelOnly="1" grandCol="1" outline="0" fieldPosition="0"/>
    </format>
  </formats>
  <chartFormats count="3">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 chart="0" format="18"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755A2DCC-F0AB-8D4D-B198-EAB92062AA10}" name="Tableau croisé dynamique24"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1">
  <location ref="V278:Z282"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Col" compact="0" outline="0" subtotalTop="0" showAll="0" includeNewItemsInFilter="1">
      <items count="23">
        <item x="0"/>
        <item x="1"/>
        <item x="2"/>
        <item x="3"/>
        <item m="1" x="4"/>
        <item m="1" x="17"/>
        <item m="1" x="18"/>
        <item m="1" x="10"/>
        <item m="1" x="15"/>
        <item m="1" x="12"/>
        <item m="1" x="13"/>
        <item m="1" x="16"/>
        <item m="1" x="19"/>
        <item m="1" x="8"/>
        <item m="1" x="7"/>
        <item m="1" x="6"/>
        <item m="1" x="21"/>
        <item m="1" x="14"/>
        <item m="1" x="9"/>
        <item m="1" x="11"/>
        <item m="1" x="20"/>
        <item m="1" x="5"/>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5"/>
  </colFields>
  <colItems count="4">
    <i>
      <x/>
    </i>
    <i>
      <x v="1"/>
    </i>
    <i>
      <x v="2"/>
    </i>
    <i>
      <x v="3"/>
    </i>
  </colItems>
  <dataFields count="1">
    <dataField name="Effectif" fld="0" subtotal="count" showDataAs="percentOfRow" baseField="0" baseItem="0" numFmtId="9"/>
  </dataFields>
  <formats count="21">
    <format dxfId="1480">
      <pivotArea type="all" dataOnly="0" outline="0" fieldPosition="0"/>
    </format>
    <format dxfId="1479">
      <pivotArea type="all" dataOnly="0" outline="0" fieldPosition="0"/>
    </format>
    <format dxfId="1478">
      <pivotArea outline="0" collapsedLevelsAreSubtotals="1" fieldPosition="0"/>
    </format>
    <format dxfId="1477">
      <pivotArea type="origin" dataOnly="0" labelOnly="1" outline="0" fieldPosition="0"/>
    </format>
    <format dxfId="1476">
      <pivotArea field="5" type="button" dataOnly="0" labelOnly="1" outline="0" axis="axisCol" fieldPosition="0"/>
    </format>
    <format dxfId="1475">
      <pivotArea type="topRight" dataOnly="0" labelOnly="1" outline="0" fieldPosition="0"/>
    </format>
    <format dxfId="1474">
      <pivotArea field="1" type="button" dataOnly="0" labelOnly="1" outline="0" axis="axisRow" fieldPosition="0"/>
    </format>
    <format dxfId="1473">
      <pivotArea dataOnly="0" labelOnly="1" outline="0" fieldPosition="0">
        <references count="1">
          <reference field="1" count="0"/>
        </references>
      </pivotArea>
    </format>
    <format dxfId="1472">
      <pivotArea dataOnly="0" labelOnly="1" grandRow="1" outline="0" fieldPosition="0"/>
    </format>
    <format dxfId="1471">
      <pivotArea dataOnly="0" labelOnly="1" outline="0" fieldPosition="0">
        <references count="1">
          <reference field="5" count="0"/>
        </references>
      </pivotArea>
    </format>
    <format dxfId="1470">
      <pivotArea dataOnly="0" labelOnly="1" grandCol="1" outline="0" fieldPosition="0"/>
    </format>
    <format dxfId="1469">
      <pivotArea type="all" dataOnly="0" outline="0" fieldPosition="0"/>
    </format>
    <format dxfId="1468">
      <pivotArea outline="0" collapsedLevelsAreSubtotals="1" fieldPosition="0"/>
    </format>
    <format dxfId="1467">
      <pivotArea type="origin" dataOnly="0" labelOnly="1" outline="0" fieldPosition="0"/>
    </format>
    <format dxfId="1466">
      <pivotArea field="5" type="button" dataOnly="0" labelOnly="1" outline="0" axis="axisCol" fieldPosition="0"/>
    </format>
    <format dxfId="1465">
      <pivotArea type="topRight" dataOnly="0" labelOnly="1" outline="0" fieldPosition="0"/>
    </format>
    <format dxfId="1464">
      <pivotArea field="1" type="button" dataOnly="0" labelOnly="1" outline="0" axis="axisRow" fieldPosition="0"/>
    </format>
    <format dxfId="1463">
      <pivotArea dataOnly="0" labelOnly="1" outline="0" fieldPosition="0">
        <references count="1">
          <reference field="1" count="0"/>
        </references>
      </pivotArea>
    </format>
    <format dxfId="1462">
      <pivotArea dataOnly="0" labelOnly="1" grandRow="1" outline="0" fieldPosition="0"/>
    </format>
    <format dxfId="1461">
      <pivotArea dataOnly="0" labelOnly="1" outline="0" fieldPosition="0">
        <references count="1">
          <reference field="5" count="0"/>
        </references>
      </pivotArea>
    </format>
    <format dxfId="1460">
      <pivotArea dataOnly="0" labelOnly="1" grandCol="1" outline="0" fieldPosition="0"/>
    </format>
  </formats>
  <chartFormats count="6">
    <chartFormat chart="0" format="21" series="1">
      <pivotArea type="data" outline="0" fieldPosition="0">
        <references count="2">
          <reference field="4294967294" count="1" selected="0">
            <x v="0"/>
          </reference>
          <reference field="5" count="1" selected="0">
            <x v="0"/>
          </reference>
        </references>
      </pivotArea>
    </chartFormat>
    <chartFormat chart="0" format="22" series="1">
      <pivotArea type="data" outline="0" fieldPosition="0">
        <references count="2">
          <reference field="4294967294" count="1" selected="0">
            <x v="0"/>
          </reference>
          <reference field="5" count="1" selected="0">
            <x v="1"/>
          </reference>
        </references>
      </pivotArea>
    </chartFormat>
    <chartFormat chart="0" format="23" series="1">
      <pivotArea type="data" outline="0" fieldPosition="0">
        <references count="2">
          <reference field="4294967294" count="1" selected="0">
            <x v="0"/>
          </reference>
          <reference field="5" count="1" selected="0">
            <x v="2"/>
          </reference>
        </references>
      </pivotArea>
    </chartFormat>
    <chartFormat chart="0" format="24" series="1">
      <pivotArea type="data" outline="0" fieldPosition="0">
        <references count="2">
          <reference field="4294967294" count="1" selected="0">
            <x v="0"/>
          </reference>
          <reference field="5" count="1" selected="0">
            <x v="3"/>
          </reference>
        </references>
      </pivotArea>
    </chartFormat>
    <chartFormat chart="0" format="25">
      <pivotArea type="data" outline="0" fieldPosition="0">
        <references count="3">
          <reference field="4294967294" count="1" selected="0">
            <x v="0"/>
          </reference>
          <reference field="1" count="1" selected="0">
            <x v="0"/>
          </reference>
          <reference field="5" count="1" selected="0">
            <x v="3"/>
          </reference>
        </references>
      </pivotArea>
    </chartFormat>
    <chartFormat chart="0" format="26">
      <pivotArea type="data" outline="0" fieldPosition="0">
        <references count="3">
          <reference field="4294967294" count="1" selected="0">
            <x v="0"/>
          </reference>
          <reference field="1" count="1" selected="0">
            <x v="1"/>
          </reference>
          <reference field="5"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14E18A97-7C65-BF45-979F-F41A8EEE906F}" name="Tableau croisé dynamique9"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showHeaders="0" compact="0" compactData="0" gridDropZones="1" chartFormat="7">
  <location ref="V100:X115"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axis="axisRow" compact="0" outline="0" subtotalTop="0" showAll="0" includeNewItemsInFilter="1" sortType="ascending">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0"/>
  </rowFields>
  <rowItems count="14">
    <i>
      <x/>
    </i>
    <i>
      <x v="1"/>
    </i>
    <i>
      <x v="2"/>
    </i>
    <i>
      <x v="3"/>
    </i>
    <i>
      <x v="4"/>
    </i>
    <i>
      <x v="5"/>
    </i>
    <i>
      <x v="6"/>
    </i>
    <i>
      <x v="7"/>
    </i>
    <i>
      <x v="8"/>
    </i>
    <i>
      <x v="9"/>
    </i>
    <i>
      <x v="10"/>
    </i>
    <i>
      <x v="11"/>
    </i>
    <i>
      <x v="12"/>
    </i>
    <i t="grand">
      <x/>
    </i>
  </rowItems>
  <colFields count="1">
    <field x="1"/>
  </colFields>
  <colItems count="2">
    <i>
      <x v="1"/>
    </i>
    <i>
      <x v="2"/>
    </i>
  </colItems>
  <dataFields count="1">
    <dataField name="Emploi " fld="0" subtotal="count" showDataAs="percentOfRow" baseField="0" baseItem="0" numFmtId="9"/>
  </dataFields>
  <formats count="18">
    <format dxfId="1498">
      <pivotArea type="all" dataOnly="0" outline="0" fieldPosition="0"/>
    </format>
    <format dxfId="1497">
      <pivotArea outline="0" collapsedLevelsAreSubtotals="1" fieldPosition="0"/>
    </format>
    <format dxfId="1496">
      <pivotArea type="origin" dataOnly="0" labelOnly="1" outline="0" fieldPosition="0"/>
    </format>
    <format dxfId="1495">
      <pivotArea field="10" type="button" dataOnly="0" labelOnly="1" outline="0" axis="axisRow" fieldPosition="0"/>
    </format>
    <format dxfId="1494">
      <pivotArea type="topRight" dataOnly="0" labelOnly="1" outline="0" fieldPosition="0"/>
    </format>
    <format dxfId="1493">
      <pivotArea field="1" type="button" dataOnly="0" labelOnly="1" outline="0" axis="axisCol" fieldPosition="0"/>
    </format>
    <format dxfId="1492">
      <pivotArea dataOnly="0" labelOnly="1" outline="0" fieldPosition="0">
        <references count="1">
          <reference field="1" count="0"/>
        </references>
      </pivotArea>
    </format>
    <format dxfId="1491">
      <pivotArea dataOnly="0" labelOnly="1" grandRow="1" outline="0" fieldPosition="0"/>
    </format>
    <format dxfId="1490">
      <pivotArea dataOnly="0" labelOnly="1" outline="0" fieldPosition="0">
        <references count="1">
          <reference field="10" count="11">
            <x v="0"/>
            <x v="1"/>
            <x v="3"/>
            <x v="4"/>
            <x v="5"/>
            <x v="6"/>
            <x v="8"/>
            <x v="9"/>
            <x v="10"/>
            <x v="11"/>
            <x v="12"/>
          </reference>
        </references>
      </pivotArea>
    </format>
    <format dxfId="1489">
      <pivotArea type="all" dataOnly="0" outline="0" fieldPosition="0"/>
    </format>
    <format dxfId="1488">
      <pivotArea outline="0" collapsedLevelsAreSubtotals="1" fieldPosition="0"/>
    </format>
    <format dxfId="1487">
      <pivotArea type="origin" dataOnly="0" labelOnly="1" outline="0" fieldPosition="0"/>
    </format>
    <format dxfId="1486">
      <pivotArea field="10" type="button" dataOnly="0" labelOnly="1" outline="0" axis="axisRow" fieldPosition="0"/>
    </format>
    <format dxfId="1485">
      <pivotArea type="topRight" dataOnly="0" labelOnly="1" outline="0" fieldPosition="0"/>
    </format>
    <format dxfId="1484">
      <pivotArea field="1" type="button" dataOnly="0" labelOnly="1" outline="0" axis="axisCol" fieldPosition="0"/>
    </format>
    <format dxfId="1483">
      <pivotArea dataOnly="0" labelOnly="1" outline="0" fieldPosition="0">
        <references count="1">
          <reference field="1" count="0"/>
        </references>
      </pivotArea>
    </format>
    <format dxfId="1482">
      <pivotArea dataOnly="0" labelOnly="1" grandRow="1" outline="0" fieldPosition="0"/>
    </format>
    <format dxfId="1481">
      <pivotArea dataOnly="0" labelOnly="1" outline="0" fieldPosition="0">
        <references count="1">
          <reference field="10" count="11">
            <x v="0"/>
            <x v="1"/>
            <x v="3"/>
            <x v="4"/>
            <x v="5"/>
            <x v="6"/>
            <x v="8"/>
            <x v="9"/>
            <x v="10"/>
            <x v="11"/>
            <x v="12"/>
          </reference>
        </references>
      </pivotArea>
    </format>
  </formats>
  <chartFormats count="22">
    <chartFormat chart="0" format="0" series="1">
      <pivotArea type="data" outline="0" fieldPosition="0">
        <references count="2">
          <reference field="4294967294" count="1" selected="0">
            <x v="0"/>
          </reference>
          <reference field="10" count="1" selected="0">
            <x v="0"/>
          </reference>
        </references>
      </pivotArea>
    </chartFormat>
    <chartFormat chart="0" format="1" series="1">
      <pivotArea type="data" outline="0" fieldPosition="0">
        <references count="2">
          <reference field="4294967294" count="1" selected="0">
            <x v="0"/>
          </reference>
          <reference field="10" count="1" selected="0">
            <x v="1"/>
          </reference>
        </references>
      </pivotArea>
    </chartFormat>
    <chartFormat chart="0" format="2" series="1">
      <pivotArea type="data" outline="0" fieldPosition="0">
        <references count="2">
          <reference field="4294967294" count="1" selected="0">
            <x v="0"/>
          </reference>
          <reference field="10" count="1" selected="0">
            <x v="2"/>
          </reference>
        </references>
      </pivotArea>
    </chartFormat>
    <chartFormat chart="0" format="3" series="1">
      <pivotArea type="data" outline="0" fieldPosition="0">
        <references count="2">
          <reference field="4294967294" count="1" selected="0">
            <x v="0"/>
          </reference>
          <reference field="10" count="1" selected="0">
            <x v="3"/>
          </reference>
        </references>
      </pivotArea>
    </chartFormat>
    <chartFormat chart="0" format="4" series="1">
      <pivotArea type="data" outline="0" fieldPosition="0">
        <references count="2">
          <reference field="4294967294" count="1" selected="0">
            <x v="0"/>
          </reference>
          <reference field="10" count="1" selected="0">
            <x v="4"/>
          </reference>
        </references>
      </pivotArea>
    </chartFormat>
    <chartFormat chart="0" format="5" series="1">
      <pivotArea type="data" outline="0" fieldPosition="0">
        <references count="2">
          <reference field="4294967294" count="1" selected="0">
            <x v="0"/>
          </reference>
          <reference field="10" count="1" selected="0">
            <x v="5"/>
          </reference>
        </references>
      </pivotArea>
    </chartFormat>
    <chartFormat chart="0" format="6" series="1">
      <pivotArea type="data" outline="0" fieldPosition="0">
        <references count="2">
          <reference field="4294967294" count="1" selected="0">
            <x v="0"/>
          </reference>
          <reference field="10" count="1" selected="0">
            <x v="6"/>
          </reference>
        </references>
      </pivotArea>
    </chartFormat>
    <chartFormat chart="0" format="7" series="1">
      <pivotArea type="data" outline="0" fieldPosition="0">
        <references count="2">
          <reference field="4294967294" count="1" selected="0">
            <x v="0"/>
          </reference>
          <reference field="10" count="1" selected="0">
            <x v="7"/>
          </reference>
        </references>
      </pivotArea>
    </chartFormat>
    <chartFormat chart="0" format="8" series="1">
      <pivotArea type="data" outline="0" fieldPosition="0">
        <references count="2">
          <reference field="4294967294" count="1" selected="0">
            <x v="0"/>
          </reference>
          <reference field="10" count="1" selected="0">
            <x v="8"/>
          </reference>
        </references>
      </pivotArea>
    </chartFormat>
    <chartFormat chart="0" format="9" series="1">
      <pivotArea type="data" outline="0" fieldPosition="0">
        <references count="2">
          <reference field="4294967294" count="1" selected="0">
            <x v="0"/>
          </reference>
          <reference field="10" count="1" selected="0">
            <x v="9"/>
          </reference>
        </references>
      </pivotArea>
    </chartFormat>
    <chartFormat chart="0" format="10" series="1">
      <pivotArea type="data" outline="0" fieldPosition="0">
        <references count="2">
          <reference field="4294967294" count="1" selected="0">
            <x v="0"/>
          </reference>
          <reference field="10" count="1" selected="0">
            <x v="10"/>
          </reference>
        </references>
      </pivotArea>
    </chartFormat>
    <chartFormat chart="0" format="11" series="1">
      <pivotArea type="data" outline="0" fieldPosition="0">
        <references count="2">
          <reference field="4294967294" count="1" selected="0">
            <x v="0"/>
          </reference>
          <reference field="10" count="1" selected="0">
            <x v="11"/>
          </reference>
        </references>
      </pivotArea>
    </chartFormat>
    <chartFormat chart="0" format="12" series="1">
      <pivotArea type="data" outline="0" fieldPosition="0">
        <references count="2">
          <reference field="4294967294" count="1" selected="0">
            <x v="0"/>
          </reference>
          <reference field="10" count="1" selected="0">
            <x v="12"/>
          </reference>
        </references>
      </pivotArea>
    </chartFormat>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2"/>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19" series="1">
      <pivotArea type="data" outline="0" fieldPosition="0">
        <references count="2">
          <reference field="4294967294" count="1" selected="0">
            <x v="0"/>
          </reference>
          <reference field="1" count="1" selected="0">
            <x v="2"/>
          </reference>
        </references>
      </pivotArea>
    </chartFormat>
    <chartFormat chart="3" format="0" series="1">
      <pivotArea type="data" outline="0" fieldPosition="0">
        <references count="2">
          <reference field="4294967294" count="1" selected="0">
            <x v="0"/>
          </reference>
          <reference field="1" count="1" selected="0">
            <x v="1"/>
          </reference>
        </references>
      </pivotArea>
    </chartFormat>
    <chartFormat chart="3" format="1" series="1">
      <pivotArea type="data" outline="0" fieldPosition="0">
        <references count="2">
          <reference field="4294967294" count="1" selected="0">
            <x v="0"/>
          </reference>
          <reference field="1" count="1" selected="0">
            <x v="2"/>
          </reference>
        </references>
      </pivotArea>
    </chartFormat>
    <chartFormat chart="6" format="3" series="1">
      <pivotArea type="data" outline="0" fieldPosition="0">
        <references count="2">
          <reference field="4294967294" count="1" selected="0">
            <x v="0"/>
          </reference>
          <reference field="1" count="1" selected="0">
            <x v="1"/>
          </reference>
        </references>
      </pivotArea>
    </chartFormat>
    <chartFormat chart="6"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296F6C6-3411-EC40-A83D-B0CF6B168D25}" name="Tableau croisé dynamique19"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4">
  <location ref="AB189:AE195" firstHeaderRow="1" firstDataRow="2"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axis="axisRow" compact="0" outline="0" subtotalTop="0" showAll="0" includeNewItemsInFilter="1" sortType="ascending"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9"/>
  </rowFields>
  <rowItems count="5">
    <i>
      <x v="2"/>
    </i>
    <i>
      <x v="4"/>
    </i>
    <i>
      <x v="6"/>
    </i>
    <i>
      <x v="8"/>
    </i>
    <i t="grand">
      <x/>
    </i>
  </rowItems>
  <colFields count="1">
    <field x="1"/>
  </colFields>
  <colItems count="3">
    <i>
      <x/>
    </i>
    <i>
      <x v="1"/>
    </i>
    <i t="grand">
      <x/>
    </i>
  </colItems>
  <dataFields count="1">
    <dataField name="NB sur NOM" fld="0" subtotal="count" showDataAs="percentOfCol" baseField="0" baseItem="0" numFmtId="9"/>
  </dataFields>
  <formats count="21">
    <format dxfId="1519">
      <pivotArea type="all" dataOnly="0" outline="0" fieldPosition="0"/>
    </format>
    <format dxfId="1518">
      <pivotArea type="all" dataOnly="0" outline="0" fieldPosition="0"/>
    </format>
    <format dxfId="1517">
      <pivotArea outline="0" collapsedLevelsAreSubtotals="1" fieldPosition="0"/>
    </format>
    <format dxfId="1516">
      <pivotArea type="origin" dataOnly="0" labelOnly="1" outline="0" fieldPosition="0"/>
    </format>
    <format dxfId="1515">
      <pivotArea field="1" type="button" dataOnly="0" labelOnly="1" outline="0" axis="axisCol" fieldPosition="0"/>
    </format>
    <format dxfId="1514">
      <pivotArea type="topRight" dataOnly="0" labelOnly="1" outline="0" fieldPosition="0"/>
    </format>
    <format dxfId="1513">
      <pivotArea field="29" type="button" dataOnly="0" labelOnly="1" outline="0" axis="axisRow" fieldPosition="0"/>
    </format>
    <format dxfId="1512">
      <pivotArea dataOnly="0" labelOnly="1" outline="0" fieldPosition="0">
        <references count="1">
          <reference field="29" count="0"/>
        </references>
      </pivotArea>
    </format>
    <format dxfId="1511">
      <pivotArea dataOnly="0" labelOnly="1" grandRow="1" outline="0" fieldPosition="0"/>
    </format>
    <format dxfId="1510">
      <pivotArea dataOnly="0" labelOnly="1" outline="0" fieldPosition="0">
        <references count="1">
          <reference field="1" count="0"/>
        </references>
      </pivotArea>
    </format>
    <format dxfId="1509">
      <pivotArea dataOnly="0" labelOnly="1" grandCol="1" outline="0" fieldPosition="0"/>
    </format>
    <format dxfId="1508">
      <pivotArea type="all" dataOnly="0" outline="0" fieldPosition="0"/>
    </format>
    <format dxfId="1507">
      <pivotArea outline="0" collapsedLevelsAreSubtotals="1" fieldPosition="0"/>
    </format>
    <format dxfId="1506">
      <pivotArea type="origin" dataOnly="0" labelOnly="1" outline="0" fieldPosition="0"/>
    </format>
    <format dxfId="1505">
      <pivotArea field="1" type="button" dataOnly="0" labelOnly="1" outline="0" axis="axisCol" fieldPosition="0"/>
    </format>
    <format dxfId="1504">
      <pivotArea type="topRight" dataOnly="0" labelOnly="1" outline="0" fieldPosition="0"/>
    </format>
    <format dxfId="1503">
      <pivotArea field="29" type="button" dataOnly="0" labelOnly="1" outline="0" axis="axisRow" fieldPosition="0"/>
    </format>
    <format dxfId="1502">
      <pivotArea dataOnly="0" labelOnly="1" outline="0" fieldPosition="0">
        <references count="1">
          <reference field="29" count="0"/>
        </references>
      </pivotArea>
    </format>
    <format dxfId="1501">
      <pivotArea dataOnly="0" labelOnly="1" grandRow="1" outline="0" fieldPosition="0"/>
    </format>
    <format dxfId="1500">
      <pivotArea dataOnly="0" labelOnly="1" outline="0" fieldPosition="0">
        <references count="1">
          <reference field="1" count="0"/>
        </references>
      </pivotArea>
    </format>
    <format dxfId="1499">
      <pivotArea dataOnly="0" labelOnly="1" grandCol="1" outline="0" fieldPosition="0"/>
    </format>
  </formats>
  <chartFormats count="6">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2" format="4" series="1">
      <pivotArea type="data" outline="0" fieldPosition="0">
        <references count="2">
          <reference field="4294967294" count="1" selected="0">
            <x v="0"/>
          </reference>
          <reference field="1" count="1" selected="0">
            <x v="0"/>
          </reference>
        </references>
      </pivotArea>
    </chartFormat>
    <chartFormat chart="2" format="5" series="1">
      <pivotArea type="data" outline="0" fieldPosition="0">
        <references count="2">
          <reference field="4294967294" count="1" selected="0">
            <x v="0"/>
          </reference>
          <reference field="1" count="1" selected="0">
            <x v="1"/>
          </reference>
        </references>
      </pivotArea>
    </chartFormat>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F17AFBF-7F05-6D46-AC30-C0FE6F69DA15}" name="Tableau croisé dynamique1" cacheId="164" dataOnRows="1" autoFormatId="0" applyNumberFormats="0" applyBorderFormats="0" applyFontFormats="0" applyPatternFormats="0" applyAlignmentFormats="0" applyWidthHeightFormats="1" dataCaption="Données" updatedVersion="6" minRefreshableVersion="3" showMultipleLabel="0" showMemberPropertyTips="0" colGrandTotals="0" createdVersion="6" indent="0" compact="0" compactData="0" gridDropZones="1" chartFormat="2">
  <location ref="M61:O68"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axis="axisRow" compact="0" outline="0" subtotalTop="0" showAll="0" includeNewItemsInFilter="1">
      <items count="7">
        <item x="2"/>
        <item x="0"/>
        <item x="3"/>
        <item x="4"/>
        <item x="1"/>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9"/>
  </rowFields>
  <rowItems count="6">
    <i>
      <x/>
    </i>
    <i>
      <x v="1"/>
    </i>
    <i>
      <x v="2"/>
    </i>
    <i>
      <x v="3"/>
    </i>
    <i>
      <x v="4"/>
    </i>
    <i t="grand">
      <x/>
    </i>
  </rowItems>
  <colFields count="1">
    <field x="1"/>
  </colFields>
  <colItems count="2">
    <i>
      <x v="1"/>
    </i>
    <i>
      <x v="2"/>
    </i>
  </colItems>
  <dataFields count="1">
    <dataField name="NB sur NOM" fld="0" subtotal="count" showDataAs="percentOfRow" baseField="0" baseItem="0" numFmtId="9"/>
  </dataFields>
  <formats count="24">
    <format dxfId="1543">
      <pivotArea field="1" grandRow="1" outline="0" axis="axisCol" fieldPosition="0">
        <references count="1">
          <reference field="1" count="2" selected="0">
            <x v="1"/>
            <x v="2"/>
          </reference>
        </references>
      </pivotArea>
    </format>
    <format dxfId="1542">
      <pivotArea field="1" grandRow="1" outline="0" axis="axisCol" fieldPosition="0">
        <references count="1">
          <reference field="1" count="2" selected="0">
            <x v="1"/>
            <x v="2"/>
          </reference>
        </references>
      </pivotArea>
    </format>
    <format dxfId="1541">
      <pivotArea field="1" grandRow="1" outline="0" axis="axisCol" fieldPosition="0">
        <references count="1">
          <reference field="1" count="2" selected="0">
            <x v="1"/>
            <x v="2"/>
          </reference>
        </references>
      </pivotArea>
    </format>
    <format dxfId="1540">
      <pivotArea field="1" grandRow="1" outline="0" axis="axisCol" fieldPosition="0">
        <references count="1">
          <reference field="1" count="2" selected="0">
            <x v="1"/>
            <x v="2"/>
          </reference>
        </references>
      </pivotArea>
    </format>
    <format dxfId="1539">
      <pivotArea outline="0" fieldPosition="0">
        <references count="1">
          <reference field="1" count="2" selected="0">
            <x v="1"/>
            <x v="2"/>
          </reference>
        </references>
      </pivotArea>
    </format>
    <format dxfId="1538">
      <pivotArea type="all" dataOnly="0" outline="0" fieldPosition="0"/>
    </format>
    <format dxfId="1537">
      <pivotArea type="all" dataOnly="0" outline="0" fieldPosition="0"/>
    </format>
    <format dxfId="1536">
      <pivotArea outline="0" collapsedLevelsAreSubtotals="1" fieldPosition="0"/>
    </format>
    <format dxfId="1535">
      <pivotArea type="origin" dataOnly="0" labelOnly="1" outline="0" fieldPosition="0"/>
    </format>
    <format dxfId="1534">
      <pivotArea field="1" type="button" dataOnly="0" labelOnly="1" outline="0" axis="axisCol" fieldPosition="0"/>
    </format>
    <format dxfId="1533">
      <pivotArea type="topRight" dataOnly="0" labelOnly="1" outline="0" fieldPosition="0"/>
    </format>
    <format dxfId="1532">
      <pivotArea field="9" type="button" dataOnly="0" labelOnly="1" outline="0" axis="axisRow" fieldPosition="0"/>
    </format>
    <format dxfId="1531">
      <pivotArea dataOnly="0" labelOnly="1" outline="0" fieldPosition="0">
        <references count="1">
          <reference field="9" count="0"/>
        </references>
      </pivotArea>
    </format>
    <format dxfId="1530">
      <pivotArea dataOnly="0" labelOnly="1" grandRow="1" outline="0" fieldPosition="0"/>
    </format>
    <format dxfId="1529">
      <pivotArea dataOnly="0" labelOnly="1" outline="0" fieldPosition="0">
        <references count="1">
          <reference field="1" count="0"/>
        </references>
      </pivotArea>
    </format>
    <format dxfId="1528">
      <pivotArea type="all" dataOnly="0" outline="0" fieldPosition="0"/>
    </format>
    <format dxfId="1527">
      <pivotArea outline="0" collapsedLevelsAreSubtotals="1" fieldPosition="0"/>
    </format>
    <format dxfId="1526">
      <pivotArea type="origin" dataOnly="0" labelOnly="1" outline="0" fieldPosition="0"/>
    </format>
    <format dxfId="1525">
      <pivotArea field="1" type="button" dataOnly="0" labelOnly="1" outline="0" axis="axisCol" fieldPosition="0"/>
    </format>
    <format dxfId="1524">
      <pivotArea type="topRight" dataOnly="0" labelOnly="1" outline="0" fieldPosition="0"/>
    </format>
    <format dxfId="1523">
      <pivotArea field="9" type="button" dataOnly="0" labelOnly="1" outline="0" axis="axisRow" fieldPosition="0"/>
    </format>
    <format dxfId="1522">
      <pivotArea dataOnly="0" labelOnly="1" outline="0" fieldPosition="0">
        <references count="1">
          <reference field="9" count="0"/>
        </references>
      </pivotArea>
    </format>
    <format dxfId="1521">
      <pivotArea dataOnly="0" labelOnly="1" grandRow="1" outline="0" fieldPosition="0"/>
    </format>
    <format dxfId="1520">
      <pivotArea dataOnly="0" labelOnly="1" outline="0" fieldPosition="0">
        <references count="1">
          <reference field="1" count="0"/>
        </references>
      </pivotArea>
    </format>
  </formats>
  <chartFormats count="5">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1">
          <reference field="4294967294" count="1" selected="0">
            <x v="0"/>
          </reference>
        </references>
      </pivotArea>
    </chartFormat>
    <chartFormat chart="1" format="3" series="1">
      <pivotArea type="data" outline="0" fieldPosition="0">
        <references count="2">
          <reference field="4294967294" count="1" selected="0">
            <x v="0"/>
          </reference>
          <reference field="1" count="1" selected="0">
            <x v="1"/>
          </reference>
        </references>
      </pivotArea>
    </chartFormat>
    <chartFormat chart="1"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33456D85-93C6-E84B-A53B-2F64619CF3AE}" name="Tableau croisé dynamique16"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M189:P195" firstHeaderRow="1" firstDataRow="2" firstDataCol="1"/>
  <pivotFields count="36">
    <pivotField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dataField="1"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Moyenne sur age" fld="27" subtotal="average" baseField="0" baseItem="0" numFmtId="171"/>
  </dataFields>
  <formats count="51">
    <format dxfId="1594">
      <pivotArea field="1" grandRow="1" outline="0" axis="axisCol" fieldPosition="0">
        <references count="1">
          <reference field="1" count="2" selected="0">
            <x v="1"/>
            <x v="2"/>
          </reference>
        </references>
      </pivotArea>
    </format>
    <format dxfId="1593">
      <pivotArea grandRow="1" grandCol="1" outline="0" fieldPosition="0"/>
    </format>
    <format dxfId="1592">
      <pivotArea outline="0" fieldPosition="0"/>
    </format>
    <format dxfId="1591">
      <pivotArea type="all" dataOnly="0" outline="0" fieldPosition="0"/>
    </format>
    <format dxfId="1590">
      <pivotArea type="all" dataOnly="0" outline="0" fieldPosition="0"/>
    </format>
    <format dxfId="1589">
      <pivotArea type="all" dataOnly="0" outline="0" fieldPosition="0"/>
    </format>
    <format dxfId="1588">
      <pivotArea type="all" dataOnly="0" outline="0" fieldPosition="0"/>
    </format>
    <format dxfId="1587">
      <pivotArea type="all" dataOnly="0" outline="0" fieldPosition="0"/>
    </format>
    <format dxfId="1586">
      <pivotArea type="all" dataOnly="0" outline="0" fieldPosition="0"/>
    </format>
    <format dxfId="1585">
      <pivotArea outline="0" fieldPosition="0"/>
    </format>
    <format dxfId="1584">
      <pivotArea type="all" dataOnly="0" outline="0" fieldPosition="0"/>
    </format>
    <format dxfId="1583">
      <pivotArea outline="0" fieldPosition="0"/>
    </format>
    <format dxfId="1582">
      <pivotArea type="origin" dataOnly="0" labelOnly="1" outline="0" fieldPosition="0"/>
    </format>
    <format dxfId="1581">
      <pivotArea field="1" type="button" dataOnly="0" labelOnly="1" outline="0" axis="axisCol" fieldPosition="0"/>
    </format>
    <format dxfId="1580">
      <pivotArea type="topRight" dataOnly="0" labelOnly="1" outline="0" fieldPosition="0"/>
    </format>
    <format dxfId="1579">
      <pivotArea field="5" type="button" dataOnly="0" labelOnly="1" outline="0" axis="axisRow" fieldPosition="0"/>
    </format>
    <format dxfId="1578">
      <pivotArea dataOnly="0" labelOnly="1" outline="0" fieldPosition="0">
        <references count="1">
          <reference field="5" count="0"/>
        </references>
      </pivotArea>
    </format>
    <format dxfId="1577">
      <pivotArea dataOnly="0" labelOnly="1" grandRow="1" outline="0" fieldPosition="0"/>
    </format>
    <format dxfId="1576">
      <pivotArea dataOnly="0" labelOnly="1" outline="0" fieldPosition="0">
        <references count="1">
          <reference field="1" count="0"/>
        </references>
      </pivotArea>
    </format>
    <format dxfId="1575">
      <pivotArea dataOnly="0" labelOnly="1" grandCol="1" outline="0" fieldPosition="0"/>
    </format>
    <format dxfId="1574">
      <pivotArea type="all" dataOnly="0" outline="0" fieldPosition="0"/>
    </format>
    <format dxfId="1573">
      <pivotArea outline="0" collapsedLevelsAreSubtotals="1" fieldPosition="0"/>
    </format>
    <format dxfId="1572">
      <pivotArea type="origin" dataOnly="0" labelOnly="1" outline="0" fieldPosition="0"/>
    </format>
    <format dxfId="1571">
      <pivotArea field="1" type="button" dataOnly="0" labelOnly="1" outline="0" axis="axisCol" fieldPosition="0"/>
    </format>
    <format dxfId="1570">
      <pivotArea type="topRight" dataOnly="0" labelOnly="1" outline="0" fieldPosition="0"/>
    </format>
    <format dxfId="1569">
      <pivotArea field="5" type="button" dataOnly="0" labelOnly="1" outline="0" axis="axisRow" fieldPosition="0"/>
    </format>
    <format dxfId="1568">
      <pivotArea dataOnly="0" labelOnly="1" outline="0" fieldPosition="0">
        <references count="1">
          <reference field="5" count="0"/>
        </references>
      </pivotArea>
    </format>
    <format dxfId="1567">
      <pivotArea dataOnly="0" labelOnly="1" grandRow="1" outline="0" fieldPosition="0"/>
    </format>
    <format dxfId="1566">
      <pivotArea dataOnly="0" labelOnly="1" outline="0" fieldPosition="0">
        <references count="1">
          <reference field="1" count="0"/>
        </references>
      </pivotArea>
    </format>
    <format dxfId="1565">
      <pivotArea dataOnly="0" labelOnly="1" grandCol="1" outline="0" fieldPosition="0"/>
    </format>
    <format dxfId="1564">
      <pivotArea type="all" dataOnly="0" outline="0" fieldPosition="0"/>
    </format>
    <format dxfId="1563">
      <pivotArea outline="0" collapsedLevelsAreSubtotals="1" fieldPosition="0"/>
    </format>
    <format dxfId="1562">
      <pivotArea type="origin" dataOnly="0" labelOnly="1" outline="0" fieldPosition="0"/>
    </format>
    <format dxfId="1561">
      <pivotArea field="1" type="button" dataOnly="0" labelOnly="1" outline="0" axis="axisCol" fieldPosition="0"/>
    </format>
    <format dxfId="1560">
      <pivotArea type="topRight" dataOnly="0" labelOnly="1" outline="0" fieldPosition="0"/>
    </format>
    <format dxfId="1559">
      <pivotArea field="5" type="button" dataOnly="0" labelOnly="1" outline="0" axis="axisRow" fieldPosition="0"/>
    </format>
    <format dxfId="1558">
      <pivotArea dataOnly="0" labelOnly="1" outline="0" fieldPosition="0">
        <references count="1">
          <reference field="5" count="0"/>
        </references>
      </pivotArea>
    </format>
    <format dxfId="1557">
      <pivotArea dataOnly="0" labelOnly="1" grandRow="1" outline="0" fieldPosition="0"/>
    </format>
    <format dxfId="1556">
      <pivotArea dataOnly="0" labelOnly="1" outline="0" fieldPosition="0">
        <references count="1">
          <reference field="1" count="0"/>
        </references>
      </pivotArea>
    </format>
    <format dxfId="1555">
      <pivotArea dataOnly="0" labelOnly="1" grandCol="1" outline="0" fieldPosition="0"/>
    </format>
    <format dxfId="1554">
      <pivotArea type="all" dataOnly="0" outline="0" fieldPosition="0"/>
    </format>
    <format dxfId="1553">
      <pivotArea outline="0" collapsedLevelsAreSubtotals="1" fieldPosition="0"/>
    </format>
    <format dxfId="1552">
      <pivotArea type="origin" dataOnly="0" labelOnly="1" outline="0" fieldPosition="0"/>
    </format>
    <format dxfId="1551">
      <pivotArea field="1" type="button" dataOnly="0" labelOnly="1" outline="0" axis="axisCol" fieldPosition="0"/>
    </format>
    <format dxfId="1550">
      <pivotArea type="topRight" dataOnly="0" labelOnly="1" outline="0" fieldPosition="0"/>
    </format>
    <format dxfId="1549">
      <pivotArea field="5" type="button" dataOnly="0" labelOnly="1" outline="0" axis="axisRow" fieldPosition="0"/>
    </format>
    <format dxfId="1548">
      <pivotArea dataOnly="0" labelOnly="1" outline="0" fieldPosition="0">
        <references count="1">
          <reference field="5" count="0"/>
        </references>
      </pivotArea>
    </format>
    <format dxfId="1547">
      <pivotArea dataOnly="0" labelOnly="1" grandRow="1" outline="0" fieldPosition="0"/>
    </format>
    <format dxfId="1546">
      <pivotArea dataOnly="0" labelOnly="1" outline="0" fieldPosition="0">
        <references count="1">
          <reference field="1" count="0"/>
        </references>
      </pivotArea>
    </format>
    <format dxfId="1545">
      <pivotArea dataOnly="0" labelOnly="1" grandCol="1" outline="0" fieldPosition="0"/>
    </format>
    <format dxfId="1544">
      <pivotArea outline="0" collapsedLevelsAreSubtotals="1"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9EED7ABC-33D9-A844-B56E-8E2FFA6A1774}" name="Tableau croisé dynamique18"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4">
  <location ref="D189:G195"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axis="axisRow" compact="0" outline="0" subtotalTop="0" showAll="0" includeNewItemsInFilter="1" sortType="ascending"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9"/>
  </rowFields>
  <rowItems count="5">
    <i>
      <x v="2"/>
    </i>
    <i>
      <x v="4"/>
    </i>
    <i>
      <x v="6"/>
    </i>
    <i>
      <x v="8"/>
    </i>
    <i t="grand">
      <x/>
    </i>
  </rowItems>
  <colFields count="1">
    <field x="1"/>
  </colFields>
  <colItems count="3">
    <i>
      <x v="1"/>
    </i>
    <i>
      <x v="2"/>
    </i>
    <i t="grand">
      <x/>
    </i>
  </colItems>
  <dataFields count="1">
    <dataField name="NB sur NOM" fld="0" subtotal="count" baseField="0" baseItem="0"/>
  </dataFields>
  <formats count="29">
    <format dxfId="1623">
      <pivotArea field="1" grandRow="1" outline="0" axis="axisCol" fieldPosition="0">
        <references count="1">
          <reference field="1" count="2" selected="0">
            <x v="1"/>
            <x v="2"/>
          </reference>
        </references>
      </pivotArea>
    </format>
    <format dxfId="1622">
      <pivotArea grandRow="1" grandCol="1" outline="0" fieldPosition="0"/>
    </format>
    <format dxfId="1621">
      <pivotArea outline="0" fieldPosition="0"/>
    </format>
    <format dxfId="1620">
      <pivotArea type="all" dataOnly="0" outline="0" fieldPosition="0"/>
    </format>
    <format dxfId="1619">
      <pivotArea type="all" dataOnly="0" outline="0" fieldPosition="0"/>
    </format>
    <format dxfId="1618">
      <pivotArea type="all" dataOnly="0" outline="0" fieldPosition="0"/>
    </format>
    <format dxfId="1617">
      <pivotArea type="all" dataOnly="0" outline="0" fieldPosition="0"/>
    </format>
    <format dxfId="1616">
      <pivotArea type="all" dataOnly="0" outline="0" fieldPosition="0"/>
    </format>
    <format dxfId="1615">
      <pivotArea type="all" dataOnly="0" outline="0" fieldPosition="0"/>
    </format>
    <format dxfId="1614">
      <pivotArea type="all" dataOnly="0" outline="0" fieldPosition="0"/>
    </format>
    <format dxfId="1613">
      <pivotArea outline="0" collapsedLevelsAreSubtotals="1" fieldPosition="0"/>
    </format>
    <format dxfId="1612">
      <pivotArea type="origin" dataOnly="0" labelOnly="1" outline="0" fieldPosition="0"/>
    </format>
    <format dxfId="1611">
      <pivotArea field="1" type="button" dataOnly="0" labelOnly="1" outline="0" axis="axisCol" fieldPosition="0"/>
    </format>
    <format dxfId="1610">
      <pivotArea type="topRight" dataOnly="0" labelOnly="1" outline="0" fieldPosition="0"/>
    </format>
    <format dxfId="1609">
      <pivotArea field="29" type="button" dataOnly="0" labelOnly="1" outline="0" axis="axisRow" fieldPosition="0"/>
    </format>
    <format dxfId="1608">
      <pivotArea dataOnly="0" labelOnly="1" outline="0" fieldPosition="0">
        <references count="1">
          <reference field="29" count="0"/>
        </references>
      </pivotArea>
    </format>
    <format dxfId="1607">
      <pivotArea dataOnly="0" labelOnly="1" grandRow="1" outline="0" fieldPosition="0"/>
    </format>
    <format dxfId="1606">
      <pivotArea dataOnly="0" labelOnly="1" outline="0" fieldPosition="0">
        <references count="1">
          <reference field="1" count="0"/>
        </references>
      </pivotArea>
    </format>
    <format dxfId="1605">
      <pivotArea dataOnly="0" labelOnly="1" grandCol="1" outline="0" fieldPosition="0"/>
    </format>
    <format dxfId="1604">
      <pivotArea type="all" dataOnly="0" outline="0" fieldPosition="0"/>
    </format>
    <format dxfId="1603">
      <pivotArea outline="0" collapsedLevelsAreSubtotals="1" fieldPosition="0"/>
    </format>
    <format dxfId="1602">
      <pivotArea type="origin" dataOnly="0" labelOnly="1" outline="0" fieldPosition="0"/>
    </format>
    <format dxfId="1601">
      <pivotArea field="1" type="button" dataOnly="0" labelOnly="1" outline="0" axis="axisCol" fieldPosition="0"/>
    </format>
    <format dxfId="1600">
      <pivotArea type="topRight" dataOnly="0" labelOnly="1" outline="0" fieldPosition="0"/>
    </format>
    <format dxfId="1599">
      <pivotArea field="29" type="button" dataOnly="0" labelOnly="1" outline="0" axis="axisRow" fieldPosition="0"/>
    </format>
    <format dxfId="1598">
      <pivotArea dataOnly="0" labelOnly="1" outline="0" fieldPosition="0">
        <references count="1">
          <reference field="29" count="0"/>
        </references>
      </pivotArea>
    </format>
    <format dxfId="1597">
      <pivotArea dataOnly="0" labelOnly="1" grandRow="1" outline="0" fieldPosition="0"/>
    </format>
    <format dxfId="1596">
      <pivotArea dataOnly="0" labelOnly="1" outline="0" fieldPosition="0">
        <references count="1">
          <reference field="1" count="0"/>
        </references>
      </pivotArea>
    </format>
    <format dxfId="1595">
      <pivotArea dataOnly="0" labelOnly="1" grandCol="1" outline="0" fieldPosition="0"/>
    </format>
  </formats>
  <chartFormats count="6">
    <chartFormat chart="0" format="0" series="1">
      <pivotArea type="data" outline="0" fieldPosition="0">
        <references count="2">
          <reference field="4294967294" count="1" selected="0">
            <x v="0"/>
          </reference>
          <reference field="1" count="1" selected="0">
            <x v="1"/>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2" format="4" series="1">
      <pivotArea type="data" outline="0" fieldPosition="0">
        <references count="2">
          <reference field="4294967294" count="1" selected="0">
            <x v="0"/>
          </reference>
          <reference field="1" count="1" selected="0">
            <x v="1"/>
          </reference>
        </references>
      </pivotArea>
    </chartFormat>
    <chartFormat chart="2" format="5" series="1">
      <pivotArea type="data" outline="0" fieldPosition="0">
        <references count="2">
          <reference field="4294967294" count="1" selected="0">
            <x v="0"/>
          </reference>
          <reference field="1" count="1" selected="0">
            <x v="2"/>
          </reference>
        </references>
      </pivotArea>
    </chartFormat>
    <chartFormat chart="3" format="16" series="1">
      <pivotArea type="data" outline="0" fieldPosition="0">
        <references count="2">
          <reference field="4294967294" count="1" selected="0">
            <x v="0"/>
          </reference>
          <reference field="1" count="1" selected="0">
            <x v="1"/>
          </reference>
        </references>
      </pivotArea>
    </chartFormat>
    <chartFormat chart="3"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BD5737AA-E331-1043-8FC3-8A59339AA844}" name="Tableau croisé dynamique25"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278:G284" firstHeaderRow="1" firstDataRow="2"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items count="6">
        <item x="4"/>
        <item x="0"/>
        <item x="1"/>
        <item x="2"/>
        <item x="3"/>
        <item m="1" x="5"/>
      </items>
    </pivotField>
    <pivotField compact="0" outline="0" subtotalTop="0" showAll="0" includeNewItemsInFilter="1" defaultSubtotal="0">
      <items count="4">
        <item x="0"/>
        <item x="1"/>
        <item x="2"/>
        <item m="1" x="3"/>
      </items>
    </pivotField>
    <pivotField compact="0" outline="0" subtotalTop="0" showAll="0" includeNewItemsInFilter="1"/>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items count="5">
        <item h="1" m="1" x="4"/>
        <item h="1" m="1" x="3"/>
        <item h="1" m="1" x="1"/>
        <item h="1" m="1" x="2"/>
        <item x="0"/>
      </items>
    </pivotField>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i>
    <i>
      <x v="1"/>
    </i>
    <i t="grand">
      <x/>
    </i>
  </colItems>
  <dataFields count="1">
    <dataField name="Effectif" fld="0" subtotal="count" baseField="0" baseItem="0"/>
  </dataFields>
  <formats count="41">
    <format dxfId="1664">
      <pivotArea field="1" grandRow="1" outline="0" axis="axisCol" fieldPosition="0">
        <references count="1">
          <reference field="1" count="2" selected="0">
            <x v="0"/>
            <x v="1"/>
          </reference>
        </references>
      </pivotArea>
    </format>
    <format dxfId="1663">
      <pivotArea field="5" grandCol="1" outline="0" axis="axisRow" fieldPosition="0">
        <references count="1">
          <reference field="5" count="0" selected="0"/>
        </references>
      </pivotArea>
    </format>
    <format dxfId="1662">
      <pivotArea grandRow="1" grandCol="1" outline="0" fieldPosition="0"/>
    </format>
    <format dxfId="1661">
      <pivotArea outline="0" fieldPosition="0">
        <references count="2">
          <reference field="1" count="2" selected="0">
            <x v="0"/>
            <x v="1"/>
          </reference>
          <reference field="5" count="0" selected="0"/>
        </references>
      </pivotArea>
    </format>
    <format dxfId="1660">
      <pivotArea outline="0" fieldPosition="0"/>
    </format>
    <format dxfId="1659">
      <pivotArea type="all" dataOnly="0" outline="0" fieldPosition="0"/>
    </format>
    <format dxfId="1658">
      <pivotArea type="all" dataOnly="0" outline="0" fieldPosition="0"/>
    </format>
    <format dxfId="1657">
      <pivotArea outline="0" fieldPosition="0">
        <references count="2">
          <reference field="1" count="1" selected="0">
            <x v="1"/>
          </reference>
          <reference field="5" count="1" selected="0">
            <x v="5"/>
          </reference>
        </references>
      </pivotArea>
    </format>
    <format dxfId="1656">
      <pivotArea type="all" dataOnly="0" outline="0" fieldPosition="0"/>
    </format>
    <format dxfId="1655">
      <pivotArea type="all" dataOnly="0" outline="0" fieldPosition="0"/>
    </format>
    <format dxfId="1654">
      <pivotArea type="all" dataOnly="0" outline="0" fieldPosition="0"/>
    </format>
    <format dxfId="1653">
      <pivotArea type="all" dataOnly="0" outline="0" fieldPosition="0"/>
    </format>
    <format dxfId="1652">
      <pivotArea outline="0" fieldPosition="0"/>
    </format>
    <format dxfId="1651">
      <pivotArea type="origin" dataOnly="0" labelOnly="1" outline="0" fieldPosition="0"/>
    </format>
    <format dxfId="1650">
      <pivotArea field="1" type="button" dataOnly="0" labelOnly="1" outline="0" axis="axisCol" fieldPosition="0"/>
    </format>
    <format dxfId="1649">
      <pivotArea type="topRight" dataOnly="0" labelOnly="1" outline="0" fieldPosition="0"/>
    </format>
    <format dxfId="1648">
      <pivotArea field="5" type="button" dataOnly="0" labelOnly="1" outline="0" axis="axisRow" fieldPosition="0"/>
    </format>
    <format dxfId="1647">
      <pivotArea dataOnly="0" labelOnly="1" outline="0" fieldPosition="0">
        <references count="1">
          <reference field="5" count="2">
            <x v="0"/>
            <x v="4"/>
          </reference>
        </references>
      </pivotArea>
    </format>
    <format dxfId="1646">
      <pivotArea dataOnly="0" labelOnly="1" grandRow="1" outline="0" fieldPosition="0"/>
    </format>
    <format dxfId="1645">
      <pivotArea dataOnly="0" labelOnly="1" outline="0" fieldPosition="0">
        <references count="1">
          <reference field="1" count="0"/>
        </references>
      </pivotArea>
    </format>
    <format dxfId="1644">
      <pivotArea dataOnly="0" labelOnly="1" grandCol="1" outline="0" fieldPosition="0"/>
    </format>
    <format dxfId="1643">
      <pivotArea type="all" dataOnly="0" outline="0" fieldPosition="0"/>
    </format>
    <format dxfId="1642">
      <pivotArea outline="0" collapsedLevelsAreSubtotals="1" fieldPosition="0"/>
    </format>
    <format dxfId="1641">
      <pivotArea type="origin" dataOnly="0" labelOnly="1" outline="0" fieldPosition="0"/>
    </format>
    <format dxfId="1640">
      <pivotArea field="1" type="button" dataOnly="0" labelOnly="1" outline="0" axis="axisCol" fieldPosition="0"/>
    </format>
    <format dxfId="1639">
      <pivotArea type="topRight" dataOnly="0" labelOnly="1" outline="0" fieldPosition="0"/>
    </format>
    <format dxfId="1638">
      <pivotArea field="5" type="button" dataOnly="0" labelOnly="1" outline="0" axis="axisRow" fieldPosition="0"/>
    </format>
    <format dxfId="1637">
      <pivotArea dataOnly="0" labelOnly="1" outline="0" fieldPosition="0">
        <references count="1">
          <reference field="5" count="0"/>
        </references>
      </pivotArea>
    </format>
    <format dxfId="1636">
      <pivotArea dataOnly="0" labelOnly="1" grandRow="1" outline="0" fieldPosition="0"/>
    </format>
    <format dxfId="1635">
      <pivotArea dataOnly="0" labelOnly="1" outline="0" fieldPosition="0">
        <references count="1">
          <reference field="1" count="0"/>
        </references>
      </pivotArea>
    </format>
    <format dxfId="1634">
      <pivotArea dataOnly="0" labelOnly="1" grandCol="1" outline="0" fieldPosition="0"/>
    </format>
    <format dxfId="1633">
      <pivotArea type="all" dataOnly="0" outline="0" fieldPosition="0"/>
    </format>
    <format dxfId="1632">
      <pivotArea outline="0" collapsedLevelsAreSubtotals="1" fieldPosition="0"/>
    </format>
    <format dxfId="1631">
      <pivotArea type="origin" dataOnly="0" labelOnly="1" outline="0" fieldPosition="0"/>
    </format>
    <format dxfId="1630">
      <pivotArea field="1" type="button" dataOnly="0" labelOnly="1" outline="0" axis="axisCol" fieldPosition="0"/>
    </format>
    <format dxfId="1629">
      <pivotArea type="topRight" dataOnly="0" labelOnly="1" outline="0" fieldPosition="0"/>
    </format>
    <format dxfId="1628">
      <pivotArea field="5" type="button" dataOnly="0" labelOnly="1" outline="0" axis="axisRow" fieldPosition="0"/>
    </format>
    <format dxfId="1627">
      <pivotArea dataOnly="0" labelOnly="1" outline="0" fieldPosition="0">
        <references count="1">
          <reference field="5" count="0"/>
        </references>
      </pivotArea>
    </format>
    <format dxfId="1626">
      <pivotArea dataOnly="0" labelOnly="1" grandRow="1" outline="0" fieldPosition="0"/>
    </format>
    <format dxfId="1625">
      <pivotArea dataOnly="0" labelOnly="1" outline="0" fieldPosition="0">
        <references count="1">
          <reference field="1" count="0"/>
        </references>
      </pivotArea>
    </format>
    <format dxfId="1624">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0"/>
          </reference>
        </references>
      </pivotArea>
    </chartFormat>
    <chartFormat chart="0" format="17" series="1">
      <pivotArea type="data" outline="0" fieldPosition="0">
        <references count="2">
          <reference field="4294967294" count="1" selected="0">
            <x v="0"/>
          </reference>
          <reference field="1"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132CDD1-B17A-D942-8F07-25E758AC4583}" name="Tableau croisé dynamique37"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3">
  <location ref="X205:AA212"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sortType="ascending">
      <items count="11">
        <item m="1" x="9"/>
        <item x="8"/>
        <item x="7"/>
        <item x="6"/>
        <item x="5"/>
        <item x="4"/>
        <item x="0"/>
        <item x="3"/>
        <item x="2"/>
        <item x="1"/>
        <item t="default"/>
      </items>
    </pivotField>
    <pivotField axis="axisRow" compact="0" outline="0" subtotalTop="0" showAll="0" includeNewItemsInFilter="1" defaultSubtotal="0">
      <items count="5">
        <item x="0"/>
        <item x="1"/>
        <item x="2"/>
        <item x="3"/>
        <item x="4"/>
      </items>
    </pivotField>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31"/>
  </rowFields>
  <rowItems count="6">
    <i>
      <x/>
    </i>
    <i>
      <x v="1"/>
    </i>
    <i>
      <x v="2"/>
    </i>
    <i>
      <x v="3"/>
    </i>
    <i>
      <x v="4"/>
    </i>
    <i t="grand">
      <x/>
    </i>
  </rowItems>
  <colFields count="1">
    <field x="1"/>
  </colFields>
  <colItems count="3">
    <i>
      <x v="1"/>
    </i>
    <i>
      <x v="2"/>
    </i>
    <i t="grand">
      <x/>
    </i>
  </colItems>
  <dataFields count="1">
    <dataField name="NB sur NOM" fld="0" subtotal="count" showDataAs="percentOfRow" baseField="0" baseItem="0" numFmtId="9"/>
  </dataFields>
  <formats count="6">
    <format dxfId="639">
      <pivotArea field="1" grandRow="1" outline="0" axis="axisCol" fieldPosition="0">
        <references count="1">
          <reference field="1" count="2" selected="0">
            <x v="1"/>
            <x v="2"/>
          </reference>
        </references>
      </pivotArea>
    </format>
    <format dxfId="638">
      <pivotArea field="1" grandRow="1" outline="0" axis="axisCol" fieldPosition="0">
        <references count="1">
          <reference field="1" count="2" selected="0">
            <x v="1"/>
            <x v="2"/>
          </reference>
        </references>
      </pivotArea>
    </format>
    <format dxfId="637">
      <pivotArea field="1" grandRow="1" outline="0" axis="axisCol" fieldPosition="0">
        <references count="1">
          <reference field="1" count="2" selected="0">
            <x v="1"/>
            <x v="2"/>
          </reference>
        </references>
      </pivotArea>
    </format>
    <format dxfId="636">
      <pivotArea field="1" grandRow="1" outline="0" axis="axisCol" fieldPosition="0">
        <references count="1">
          <reference field="1" count="2" selected="0">
            <x v="1"/>
            <x v="2"/>
          </reference>
        </references>
      </pivotArea>
    </format>
    <format dxfId="635">
      <pivotArea outline="0" fieldPosition="0">
        <references count="1">
          <reference field="1" count="2" selected="0">
            <x v="1"/>
            <x v="2"/>
          </reference>
        </references>
      </pivotArea>
    </format>
    <format dxfId="634">
      <pivotArea type="all" dataOnly="0" outline="0" fieldPosition="0"/>
    </format>
  </formats>
  <chartFormats count="2">
    <chartFormat chart="2" format="3" series="1">
      <pivotArea type="data" outline="0" fieldPosition="0">
        <references count="2">
          <reference field="4294967294" count="1" selected="0">
            <x v="0"/>
          </reference>
          <reference field="1" count="1" selected="0">
            <x v="1"/>
          </reference>
        </references>
      </pivotArea>
    </chartFormat>
    <chartFormat chart="2"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27F4F690-4C90-C546-B44C-B53C15BE12A7}" name="Tableau croisé dynamique34"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X153:AE157"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axis="axisCol" compact="0" outline="0" subtotalTop="0" showAll="0" includeNewItemsInFilter="1">
      <items count="7">
        <item x="5"/>
        <item x="1"/>
        <item x="2"/>
        <item x="0"/>
        <item x="3"/>
        <item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16"/>
  </colFields>
  <colItems count="7">
    <i>
      <x/>
    </i>
    <i>
      <x v="1"/>
    </i>
    <i>
      <x v="2"/>
    </i>
    <i>
      <x v="3"/>
    </i>
    <i>
      <x v="4"/>
    </i>
    <i>
      <x v="5"/>
    </i>
    <i t="grand">
      <x/>
    </i>
  </colItems>
  <dataFields count="1">
    <dataField name="NB sur NOM" fld="0" subtotal="count" showDataAs="percentOfRow" baseField="0" baseItem="0" numFmtId="9"/>
  </dataFields>
  <formats count="21">
    <format dxfId="660">
      <pivotArea type="all" dataOnly="0" outline="0" fieldPosition="0"/>
    </format>
    <format dxfId="659">
      <pivotArea type="all" dataOnly="0" outline="0" fieldPosition="0"/>
    </format>
    <format dxfId="658">
      <pivotArea outline="0" collapsedLevelsAreSubtotals="1" fieldPosition="0"/>
    </format>
    <format dxfId="657">
      <pivotArea type="origin" dataOnly="0" labelOnly="1" outline="0" fieldPosition="0"/>
    </format>
    <format dxfId="656">
      <pivotArea field="16" type="button" dataOnly="0" labelOnly="1" outline="0" axis="axisCol" fieldPosition="0"/>
    </format>
    <format dxfId="655">
      <pivotArea type="topRight" dataOnly="0" labelOnly="1" outline="0" fieldPosition="0"/>
    </format>
    <format dxfId="654">
      <pivotArea field="1" type="button" dataOnly="0" labelOnly="1" outline="0" axis="axisRow" fieldPosition="0"/>
    </format>
    <format dxfId="653">
      <pivotArea dataOnly="0" labelOnly="1" outline="0" fieldPosition="0">
        <references count="1">
          <reference field="1" count="0"/>
        </references>
      </pivotArea>
    </format>
    <format dxfId="652">
      <pivotArea dataOnly="0" labelOnly="1" grandRow="1" outline="0" fieldPosition="0"/>
    </format>
    <format dxfId="651">
      <pivotArea dataOnly="0" labelOnly="1" outline="0" fieldPosition="0">
        <references count="1">
          <reference field="16" count="0"/>
        </references>
      </pivotArea>
    </format>
    <format dxfId="650">
      <pivotArea dataOnly="0" labelOnly="1" grandCol="1" outline="0" fieldPosition="0"/>
    </format>
    <format dxfId="649">
      <pivotArea type="all" dataOnly="0" outline="0" fieldPosition="0"/>
    </format>
    <format dxfId="648">
      <pivotArea outline="0" collapsedLevelsAreSubtotals="1" fieldPosition="0"/>
    </format>
    <format dxfId="647">
      <pivotArea type="origin" dataOnly="0" labelOnly="1" outline="0" fieldPosition="0"/>
    </format>
    <format dxfId="646">
      <pivotArea field="16" type="button" dataOnly="0" labelOnly="1" outline="0" axis="axisCol" fieldPosition="0"/>
    </format>
    <format dxfId="645">
      <pivotArea type="topRight" dataOnly="0" labelOnly="1" outline="0" fieldPosition="0"/>
    </format>
    <format dxfId="644">
      <pivotArea field="1" type="button" dataOnly="0" labelOnly="1" outline="0" axis="axisRow" fieldPosition="0"/>
    </format>
    <format dxfId="643">
      <pivotArea dataOnly="0" labelOnly="1" outline="0" fieldPosition="0">
        <references count="1">
          <reference field="1" count="0"/>
        </references>
      </pivotArea>
    </format>
    <format dxfId="642">
      <pivotArea dataOnly="0" labelOnly="1" grandRow="1" outline="0" fieldPosition="0"/>
    </format>
    <format dxfId="641">
      <pivotArea dataOnly="0" labelOnly="1" outline="0" fieldPosition="0">
        <references count="1">
          <reference field="16" count="0"/>
        </references>
      </pivotArea>
    </format>
    <format dxfId="64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A5C0C8-67E8-2343-976B-EBAD703E717A}" name="Tableau croisé dynamique2"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I38:I40" firstHeaderRow="0" firstDataRow="0" firstDataCol="1"/>
  <pivotFields count="36">
    <pivotField showAll="0"/>
    <pivotField showAll="0"/>
    <pivotField numFmtId="14" showAll="0"/>
    <pivotField numFmtId="14" showAll="0"/>
    <pivotField showAll="0"/>
    <pivotField showAll="0"/>
    <pivotField showAll="0"/>
    <pivotField axis="axisRow" showAll="0">
      <items count="5">
        <item x="0"/>
        <item x="1"/>
        <item x="2"/>
        <item m="1" x="3"/>
        <item t="default"/>
      </items>
    </pivotField>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7"/>
  </rowFields>
  <rowItems count="3">
    <i>
      <x/>
    </i>
    <i>
      <x v="1"/>
    </i>
    <i>
      <x v="2"/>
    </i>
  </rowItems>
  <colItems count="1">
    <i/>
  </colItems>
  <formats count="1">
    <format dxfId="1751">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C11AA49-1B36-0546-BEEB-A71ED2135BE7}" name="Tableau croisé dynamique1" cacheId="164" applyNumberFormats="0" applyBorderFormats="0" applyFontFormats="0" applyPatternFormats="0" applyAlignmentFormats="0" applyWidthHeightFormats="1" dataCaption="Données" updatedVersion="6" minRefreshableVersion="3" showMemberPropertyTips="0" itemPrintTitles="1" createdVersion="6" indent="0" compact="0" compactData="0" gridDropZones="1" chartFormat="3">
  <location ref="AL205:AN219" firstHeaderRow="2" firstDataRow="2" firstDataCol="2"/>
  <pivotFields count="36">
    <pivotField compact="0" outline="0" showAll="0" includeNewItemsInFilter="1"/>
    <pivotField axis="axisRow" compact="0" outline="0" showAll="0" includeNewItemsInFilter="1">
      <items count="4">
        <item x="1"/>
        <item x="0"/>
        <item h="1" m="1" x="2"/>
        <item t="default"/>
      </items>
    </pivotField>
    <pivotField compact="0" outline="0" showAll="0" includeNewItemsInFilter="1"/>
    <pivotField compact="0" outline="0" showAll="0" includeNewItemsInFilter="1"/>
    <pivotField compact="0" outline="0" subtotalTop="0" showAll="0" defaultSubtotal="0"/>
    <pivotField compact="0" outline="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howAll="0" includeNewItemsInFilter="1"/>
    <pivotField compact="0" outline="0" showAll="0" includeNewItemsInFilter="1"/>
    <pivotField compact="0" outline="0" showAll="0" includeNewItemsInFilter="1">
      <items count="5">
        <item x="2"/>
        <item x="0"/>
        <item x="1"/>
        <item m="1" x="3"/>
        <item t="default"/>
      </items>
    </pivotField>
    <pivotField compact="0" outline="0" showAll="0" includeNewItemsInFilter="1">
      <items count="7">
        <item x="2"/>
        <item x="3"/>
        <item x="4"/>
        <item x="1"/>
        <item x="0"/>
        <item m="1" x="5"/>
        <item t="default"/>
      </items>
    </pivotField>
    <pivotField compact="0" outline="0" showAll="0" includeNewItemsInFilter="1">
      <items count="15">
        <item x="8"/>
        <item x="11"/>
        <item x="9"/>
        <item x="4"/>
        <item x="7"/>
        <item x="1"/>
        <item x="5"/>
        <item x="10"/>
        <item x="12"/>
        <item x="0"/>
        <item x="2"/>
        <item x="6"/>
        <item x="3"/>
        <item m="1" x="13"/>
        <item t="default"/>
      </items>
    </pivotField>
    <pivotField compact="0" outline="0" showAll="0" includeNewItemsInFilter="1"/>
    <pivotField compact="0" outline="0" showAll="0" includeNewItemsInFilter="1"/>
    <pivotField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ubtotalTop="0" showAll="0" defaultSubtotal="0"/>
    <pivotField compact="0" outline="0" showAll="0" includeNewItemsInFilter="1"/>
    <pivotField compact="0" outline="0" subtotalTop="0" showAll="0" defaultSubtotal="0"/>
    <pivotField compact="0" outline="0" showAll="0" includeNewItemsInFilter="1"/>
    <pivotField compact="0" outline="0" showAll="0" includeNewItemsInFilter="1"/>
    <pivotField compact="0" outline="0" showAll="0" includeNewItemsInFilter="1"/>
    <pivotField compact="0" outline="0" subtotalTop="0" showAll="0" defaultSubtotal="0"/>
    <pivotField compact="0" outline="0" showAll="0" includeNewItemsInFilter="1"/>
    <pivotField compact="0" outline="0" showAll="0" includeNewItemsInFilter="1"/>
    <pivotField axis="axisRow" compact="0" outline="0" showAll="0" includeNewItemsInFilter="1">
      <items count="10">
        <item m="1" x="7"/>
        <item m="1" x="8"/>
        <item m="1" x="5"/>
        <item m="1" x="6"/>
        <item m="1" x="4"/>
        <item x="0"/>
        <item x="1"/>
        <item x="2"/>
        <item x="3"/>
        <item t="default"/>
      </items>
    </pivotField>
    <pivotField compact="0" outline="0" showAll="0" includeNewItemsInFilter="1">
      <items count="11">
        <item m="1" x="9"/>
        <item x="8"/>
        <item x="7"/>
        <item x="6"/>
        <item x="5"/>
        <item x="4"/>
        <item x="0"/>
        <item x="3"/>
        <item x="2"/>
        <item x="1"/>
        <item t="default"/>
      </items>
    </pivotField>
    <pivotField compact="0" outline="0" showAll="0" includeNewItemsInFilter="1"/>
    <pivotField compact="0" outline="0" showAll="0" includeNewItemsInFilter="1"/>
    <pivotField compact="0" outline="0" subtotalTop="0" showAll="0" defaultSubtotal="0"/>
    <pivotField compact="0" outline="0" subtotalTop="0" showAll="0" defaultSubtotal="0"/>
    <pivotField compact="0" outline="0" subtotalTop="0" dragToRow="0" dragToCol="0" dragToPage="0" showAll="0" defaultSubtotal="0"/>
  </pivotFields>
  <rowFields count="2">
    <field x="29"/>
    <field x="1"/>
  </rowFields>
  <rowItems count="13">
    <i>
      <x v="5"/>
      <x/>
    </i>
    <i r="1">
      <x v="1"/>
    </i>
    <i t="default">
      <x v="5"/>
    </i>
    <i>
      <x v="6"/>
      <x/>
    </i>
    <i r="1">
      <x v="1"/>
    </i>
    <i t="default">
      <x v="6"/>
    </i>
    <i>
      <x v="7"/>
      <x/>
    </i>
    <i r="1">
      <x v="1"/>
    </i>
    <i t="default">
      <x v="7"/>
    </i>
    <i>
      <x v="8"/>
      <x/>
    </i>
    <i r="1">
      <x v="1"/>
    </i>
    <i t="default">
      <x v="8"/>
    </i>
    <i t="grand">
      <x/>
    </i>
  </rowItems>
  <colItems count="1">
    <i/>
  </colItems>
  <dataFields count="1">
    <dataField name="Moyenne de REMUNERATION" fld="19" subtotal="average" baseField="0" baseItem="0" numFmtId="3"/>
  </dataFields>
  <chartFormats count="5">
    <chartFormat chart="2" format="2" series="1">
      <pivotArea type="data" outline="0" fieldPosition="0">
        <references count="1">
          <reference field="4294967294" count="1" selected="0">
            <x v="0"/>
          </reference>
        </references>
      </pivotArea>
    </chartFormat>
    <chartFormat chart="2" format="3">
      <pivotArea type="data" outline="0" fieldPosition="0">
        <references count="3">
          <reference field="4294967294" count="1" selected="0">
            <x v="0"/>
          </reference>
          <reference field="1" count="1" selected="0">
            <x v="1"/>
          </reference>
          <reference field="29" count="1" selected="0">
            <x v="5"/>
          </reference>
        </references>
      </pivotArea>
    </chartFormat>
    <chartFormat chart="2" format="4">
      <pivotArea type="data" outline="0" fieldPosition="0">
        <references count="3">
          <reference field="4294967294" count="1" selected="0">
            <x v="0"/>
          </reference>
          <reference field="1" count="1" selected="0">
            <x v="1"/>
          </reference>
          <reference field="29" count="1" selected="0">
            <x v="6"/>
          </reference>
        </references>
      </pivotArea>
    </chartFormat>
    <chartFormat chart="2" format="5">
      <pivotArea type="data" outline="0" fieldPosition="0">
        <references count="3">
          <reference field="4294967294" count="1" selected="0">
            <x v="0"/>
          </reference>
          <reference field="1" count="1" selected="0">
            <x v="1"/>
          </reference>
          <reference field="29" count="1" selected="0">
            <x v="7"/>
          </reference>
        </references>
      </pivotArea>
    </chartFormat>
    <chartFormat chart="2" format="6">
      <pivotArea type="data" outline="0" fieldPosition="0">
        <references count="3">
          <reference field="4294967294" count="1" selected="0">
            <x v="0"/>
          </reference>
          <reference field="1" count="1" selected="0">
            <x v="1"/>
          </reference>
          <reference field="29" count="1" selected="0">
            <x v="8"/>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5BA414ED-36D2-8E4B-974E-5A3152326A77}" name="Tableau croisé dynamique35"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N153:Q161"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axis="axisRow" compact="0" outline="0" subtotalTop="0" showAll="0" includeNewItemsInFilter="1" sortType="ascending">
      <items count="7">
        <item x="5"/>
        <item x="1"/>
        <item x="2"/>
        <item x="0"/>
        <item x="3"/>
        <item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6"/>
  </rowFields>
  <rowItems count="7">
    <i>
      <x/>
    </i>
    <i>
      <x v="1"/>
    </i>
    <i>
      <x v="2"/>
    </i>
    <i>
      <x v="3"/>
    </i>
    <i>
      <x v="4"/>
    </i>
    <i>
      <x v="5"/>
    </i>
    <i t="grand">
      <x/>
    </i>
  </rowItems>
  <colFields count="1">
    <field x="1"/>
  </colFields>
  <colItems count="3">
    <i>
      <x v="1"/>
    </i>
    <i>
      <x v="2"/>
    </i>
    <i t="grand">
      <x/>
    </i>
  </colItems>
  <dataFields count="1">
    <dataField name="NB sur NOM" fld="0" subtotal="count" showDataAs="percentOfRow" baseField="0" baseItem="0" numFmtId="9"/>
  </dataFields>
  <formats count="22">
    <format dxfId="682">
      <pivotArea field="1" grandRow="1" outline="0" axis="axisCol" fieldPosition="0">
        <references count="1">
          <reference field="1" count="2" selected="0">
            <x v="1"/>
            <x v="2"/>
          </reference>
        </references>
      </pivotArea>
    </format>
    <format dxfId="681">
      <pivotArea field="1" grandRow="1" outline="0" axis="axisCol" fieldPosition="0">
        <references count="1">
          <reference field="1" count="2" selected="0">
            <x v="1"/>
            <x v="2"/>
          </reference>
        </references>
      </pivotArea>
    </format>
    <format dxfId="680">
      <pivotArea field="1" grandRow="1" outline="0" axis="axisCol" fieldPosition="0">
        <references count="1">
          <reference field="1" count="2" selected="0">
            <x v="1"/>
            <x v="2"/>
          </reference>
        </references>
      </pivotArea>
    </format>
    <format dxfId="679">
      <pivotArea field="1" grandRow="1" outline="0" axis="axisCol" fieldPosition="0">
        <references count="1">
          <reference field="1" count="2" selected="0">
            <x v="1"/>
            <x v="2"/>
          </reference>
        </references>
      </pivotArea>
    </format>
    <format dxfId="678">
      <pivotArea outline="0" fieldPosition="0">
        <references count="1">
          <reference field="1" count="2" selected="0">
            <x v="1"/>
            <x v="2"/>
          </reference>
        </references>
      </pivotArea>
    </format>
    <format dxfId="677">
      <pivotArea type="all" dataOnly="0" outline="0" fieldPosition="0"/>
    </format>
    <format dxfId="676">
      <pivotArea outline="0" fieldPosition="0">
        <references count="1">
          <reference field="16" count="0" selected="0"/>
        </references>
      </pivotArea>
    </format>
    <format dxfId="675">
      <pivotArea type="origin" dataOnly="0" labelOnly="1" outline="0" fieldPosition="0"/>
    </format>
    <format dxfId="674">
      <pivotArea field="1" type="button" dataOnly="0" labelOnly="1" outline="0" axis="axisCol" fieldPosition="0"/>
    </format>
    <format dxfId="673">
      <pivotArea type="topRight" dataOnly="0" labelOnly="1" outline="0" fieldPosition="0"/>
    </format>
    <format dxfId="672">
      <pivotArea field="16" type="button" dataOnly="0" labelOnly="1" outline="0" axis="axisRow" fieldPosition="0"/>
    </format>
    <format dxfId="671">
      <pivotArea dataOnly="0" labelOnly="1" outline="0" fieldPosition="0">
        <references count="1">
          <reference field="16" count="0"/>
        </references>
      </pivotArea>
    </format>
    <format dxfId="670">
      <pivotArea dataOnly="0" labelOnly="1" outline="0" fieldPosition="0">
        <references count="1">
          <reference field="1" count="0"/>
        </references>
      </pivotArea>
    </format>
    <format dxfId="669">
      <pivotArea dataOnly="0" labelOnly="1" grandCol="1" outline="0" fieldPosition="0"/>
    </format>
    <format dxfId="668">
      <pivotArea outline="0" fieldPosition="0">
        <references count="1">
          <reference field="16" count="0" selected="0"/>
        </references>
      </pivotArea>
    </format>
    <format dxfId="667">
      <pivotArea type="origin" dataOnly="0" labelOnly="1" outline="0" fieldPosition="0"/>
    </format>
    <format dxfId="666">
      <pivotArea field="1" type="button" dataOnly="0" labelOnly="1" outline="0" axis="axisCol" fieldPosition="0"/>
    </format>
    <format dxfId="665">
      <pivotArea type="topRight" dataOnly="0" labelOnly="1" outline="0" fieldPosition="0"/>
    </format>
    <format dxfId="664">
      <pivotArea field="16" type="button" dataOnly="0" labelOnly="1" outline="0" axis="axisRow" fieldPosition="0"/>
    </format>
    <format dxfId="663">
      <pivotArea dataOnly="0" labelOnly="1" outline="0" fieldPosition="0">
        <references count="1">
          <reference field="16" count="0"/>
        </references>
      </pivotArea>
    </format>
    <format dxfId="662">
      <pivotArea dataOnly="0" labelOnly="1" outline="0" fieldPosition="0">
        <references count="1">
          <reference field="1" count="0"/>
        </references>
      </pivotArea>
    </format>
    <format dxfId="661">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22170B5E-9905-A447-8D80-5D4A465680D7}" name="Tableau croisé dynamique33"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153:G161"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axis="axisRow" compact="0" outline="0" subtotalTop="0" showAll="0" includeNewItemsInFilter="1" sortType="ascending">
      <items count="7">
        <item x="5"/>
        <item x="1"/>
        <item x="2"/>
        <item x="0"/>
        <item x="3"/>
        <item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6"/>
  </rowFields>
  <rowItems count="7">
    <i>
      <x/>
    </i>
    <i>
      <x v="1"/>
    </i>
    <i>
      <x v="2"/>
    </i>
    <i>
      <x v="3"/>
    </i>
    <i>
      <x v="4"/>
    </i>
    <i>
      <x v="5"/>
    </i>
    <i t="grand">
      <x/>
    </i>
  </rowItems>
  <colFields count="1">
    <field x="1"/>
  </colFields>
  <colItems count="3">
    <i>
      <x v="1"/>
    </i>
    <i>
      <x v="2"/>
    </i>
    <i t="grand">
      <x/>
    </i>
  </colItems>
  <dataFields count="1">
    <dataField name="NB sur NOM" fld="0" subtotal="count" baseField="0" baseItem="0"/>
  </dataFields>
  <formats count="34">
    <format dxfId="716">
      <pivotArea field="1" grandRow="1" outline="0" axis="axisCol" fieldPosition="0">
        <references count="1">
          <reference field="1" count="2" selected="0">
            <x v="1"/>
            <x v="2"/>
          </reference>
        </references>
      </pivotArea>
    </format>
    <format dxfId="715">
      <pivotArea grandRow="1" grandCol="1" outline="0" fieldPosition="0"/>
    </format>
    <format dxfId="714">
      <pivotArea outline="0" fieldPosition="0"/>
    </format>
    <format dxfId="713">
      <pivotArea type="all" dataOnly="0" outline="0" fieldPosition="0"/>
    </format>
    <format dxfId="712">
      <pivotArea type="all" dataOnly="0" outline="0" fieldPosition="0"/>
    </format>
    <format dxfId="711">
      <pivotArea type="all" dataOnly="0" outline="0" fieldPosition="0"/>
    </format>
    <format dxfId="710">
      <pivotArea type="all" dataOnly="0" outline="0" fieldPosition="0"/>
    </format>
    <format dxfId="709">
      <pivotArea type="all" dataOnly="0" outline="0" fieldPosition="0"/>
    </format>
    <format dxfId="708">
      <pivotArea type="all" dataOnly="0" outline="0" fieldPosition="0"/>
    </format>
    <format dxfId="707">
      <pivotArea outline="0" fieldPosition="0"/>
    </format>
    <format dxfId="706">
      <pivotArea type="origin" dataOnly="0" labelOnly="1" outline="0" fieldPosition="0"/>
    </format>
    <format dxfId="705">
      <pivotArea field="1" type="button" dataOnly="0" labelOnly="1" outline="0" axis="axisCol" fieldPosition="0"/>
    </format>
    <format dxfId="704">
      <pivotArea type="topRight" dataOnly="0" labelOnly="1" outline="0" fieldPosition="0"/>
    </format>
    <format dxfId="703">
      <pivotArea field="16" type="button" dataOnly="0" labelOnly="1" outline="0" axis="axisRow" fieldPosition="0"/>
    </format>
    <format dxfId="702">
      <pivotArea dataOnly="0" labelOnly="1" outline="0" fieldPosition="0">
        <references count="1">
          <reference field="16" count="0"/>
        </references>
      </pivotArea>
    </format>
    <format dxfId="701">
      <pivotArea dataOnly="0" labelOnly="1" grandRow="1" outline="0" fieldPosition="0"/>
    </format>
    <format dxfId="700">
      <pivotArea dataOnly="0" labelOnly="1" outline="0" fieldPosition="0">
        <references count="1">
          <reference field="1" count="0"/>
        </references>
      </pivotArea>
    </format>
    <format dxfId="699">
      <pivotArea dataOnly="0" labelOnly="1" grandCol="1" outline="0" fieldPosition="0"/>
    </format>
    <format dxfId="698">
      <pivotArea outline="0" fieldPosition="0">
        <references count="1">
          <reference field="16" count="0" selected="0"/>
        </references>
      </pivotArea>
    </format>
    <format dxfId="697">
      <pivotArea type="origin" dataOnly="0" labelOnly="1" outline="0" fieldPosition="0"/>
    </format>
    <format dxfId="696">
      <pivotArea field="1" type="button" dataOnly="0" labelOnly="1" outline="0" axis="axisCol" fieldPosition="0"/>
    </format>
    <format dxfId="695">
      <pivotArea type="topRight" dataOnly="0" labelOnly="1" outline="0" fieldPosition="0"/>
    </format>
    <format dxfId="694">
      <pivotArea field="16" type="button" dataOnly="0" labelOnly="1" outline="0" axis="axisRow" fieldPosition="0"/>
    </format>
    <format dxfId="693">
      <pivotArea dataOnly="0" labelOnly="1" outline="0" fieldPosition="0">
        <references count="1">
          <reference field="16" count="0"/>
        </references>
      </pivotArea>
    </format>
    <format dxfId="692">
      <pivotArea dataOnly="0" labelOnly="1" outline="0" fieldPosition="0">
        <references count="1">
          <reference field="1" count="0"/>
        </references>
      </pivotArea>
    </format>
    <format dxfId="691">
      <pivotArea dataOnly="0" labelOnly="1" grandCol="1" outline="0" fieldPosition="0"/>
    </format>
    <format dxfId="690">
      <pivotArea outline="0" fieldPosition="0">
        <references count="1">
          <reference field="16" count="0" selected="0"/>
        </references>
      </pivotArea>
    </format>
    <format dxfId="689">
      <pivotArea type="origin" dataOnly="0" labelOnly="1" outline="0" fieldPosition="0"/>
    </format>
    <format dxfId="688">
      <pivotArea field="1" type="button" dataOnly="0" labelOnly="1" outline="0" axis="axisCol" fieldPosition="0"/>
    </format>
    <format dxfId="687">
      <pivotArea type="topRight" dataOnly="0" labelOnly="1" outline="0" fieldPosition="0"/>
    </format>
    <format dxfId="686">
      <pivotArea field="16" type="button" dataOnly="0" labelOnly="1" outline="0" axis="axisRow" fieldPosition="0"/>
    </format>
    <format dxfId="685">
      <pivotArea dataOnly="0" labelOnly="1" outline="0" fieldPosition="0">
        <references count="1">
          <reference field="16" count="0"/>
        </references>
      </pivotArea>
    </format>
    <format dxfId="684">
      <pivotArea dataOnly="0" labelOnly="1" outline="0" fieldPosition="0">
        <references count="1">
          <reference field="1" count="0"/>
        </references>
      </pivotArea>
    </format>
    <format dxfId="683">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54811F37-8EB4-A548-8C06-53D299EF14F5}" name="Tableau croisé dynamique31"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X103:AA114"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axis="axisRow" compact="0" outline="0" subtotalTop="0" showAll="0" includeNewItemsInFilter="1" sortType="ascending">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30"/>
  </rowFields>
  <rowItems count="10">
    <i>
      <x v="1"/>
    </i>
    <i>
      <x v="2"/>
    </i>
    <i>
      <x v="3"/>
    </i>
    <i>
      <x v="4"/>
    </i>
    <i>
      <x v="5"/>
    </i>
    <i>
      <x v="6"/>
    </i>
    <i>
      <x v="7"/>
    </i>
    <i>
      <x v="8"/>
    </i>
    <i>
      <x v="9"/>
    </i>
    <i t="grand">
      <x/>
    </i>
  </rowItems>
  <colFields count="1">
    <field x="1"/>
  </colFields>
  <colItems count="3">
    <i>
      <x v="1"/>
    </i>
    <i>
      <x v="2"/>
    </i>
    <i t="grand">
      <x/>
    </i>
  </colItems>
  <dataFields count="1">
    <dataField name="NB sur NOM" fld="0" subtotal="count" showDataAs="percentOfRow" baseField="0" baseItem="0" numFmtId="9"/>
  </dataFields>
  <formats count="26">
    <format dxfId="742">
      <pivotArea field="1" grandRow="1" outline="0" axis="axisCol" fieldPosition="0">
        <references count="1">
          <reference field="1" count="2" selected="0">
            <x v="1"/>
            <x v="2"/>
          </reference>
        </references>
      </pivotArea>
    </format>
    <format dxfId="741">
      <pivotArea field="1" grandRow="1" outline="0" axis="axisCol" fieldPosition="0">
        <references count="1">
          <reference field="1" count="2" selected="0">
            <x v="1"/>
            <x v="2"/>
          </reference>
        </references>
      </pivotArea>
    </format>
    <format dxfId="740">
      <pivotArea field="1" grandRow="1" outline="0" axis="axisCol" fieldPosition="0">
        <references count="1">
          <reference field="1" count="2" selected="0">
            <x v="1"/>
            <x v="2"/>
          </reference>
        </references>
      </pivotArea>
    </format>
    <format dxfId="739">
      <pivotArea field="1" grandRow="1" outline="0" axis="axisCol" fieldPosition="0">
        <references count="1">
          <reference field="1" count="2" selected="0">
            <x v="1"/>
            <x v="2"/>
          </reference>
        </references>
      </pivotArea>
    </format>
    <format dxfId="738">
      <pivotArea outline="0" fieldPosition="0">
        <references count="1">
          <reference field="1" count="2" selected="0">
            <x v="1"/>
            <x v="2"/>
          </reference>
        </references>
      </pivotArea>
    </format>
    <format dxfId="737">
      <pivotArea type="all" dataOnly="0" outline="0" fieldPosition="0"/>
    </format>
    <format dxfId="736">
      <pivotArea type="all" dataOnly="0" outline="0" fieldPosition="0"/>
    </format>
    <format dxfId="735">
      <pivotArea outline="0" collapsedLevelsAreSubtotals="1" fieldPosition="0"/>
    </format>
    <format dxfId="734">
      <pivotArea type="origin" dataOnly="0" labelOnly="1" outline="0" fieldPosition="0"/>
    </format>
    <format dxfId="733">
      <pivotArea field="1" type="button" dataOnly="0" labelOnly="1" outline="0" axis="axisCol" fieldPosition="0"/>
    </format>
    <format dxfId="732">
      <pivotArea type="topRight" dataOnly="0" labelOnly="1" outline="0" fieldPosition="0"/>
    </format>
    <format dxfId="731">
      <pivotArea field="30" type="button" dataOnly="0" labelOnly="1" outline="0" axis="axisRow" fieldPosition="0"/>
    </format>
    <format dxfId="730">
      <pivotArea dataOnly="0" labelOnly="1" outline="0" fieldPosition="0">
        <references count="1">
          <reference field="30" count="0"/>
        </references>
      </pivotArea>
    </format>
    <format dxfId="729">
      <pivotArea dataOnly="0" labelOnly="1" grandRow="1" outline="0" fieldPosition="0"/>
    </format>
    <format dxfId="728">
      <pivotArea dataOnly="0" labelOnly="1" outline="0" fieldPosition="0">
        <references count="1">
          <reference field="1" count="0"/>
        </references>
      </pivotArea>
    </format>
    <format dxfId="727">
      <pivotArea dataOnly="0" labelOnly="1" grandCol="1" outline="0" fieldPosition="0"/>
    </format>
    <format dxfId="726">
      <pivotArea type="all" dataOnly="0" outline="0" fieldPosition="0"/>
    </format>
    <format dxfId="725">
      <pivotArea outline="0" collapsedLevelsAreSubtotals="1" fieldPosition="0"/>
    </format>
    <format dxfId="724">
      <pivotArea type="origin" dataOnly="0" labelOnly="1" outline="0" fieldPosition="0"/>
    </format>
    <format dxfId="723">
      <pivotArea field="1" type="button" dataOnly="0" labelOnly="1" outline="0" axis="axisCol" fieldPosition="0"/>
    </format>
    <format dxfId="722">
      <pivotArea type="topRight" dataOnly="0" labelOnly="1" outline="0" fieldPosition="0"/>
    </format>
    <format dxfId="721">
      <pivotArea field="30" type="button" dataOnly="0" labelOnly="1" outline="0" axis="axisRow" fieldPosition="0"/>
    </format>
    <format dxfId="720">
      <pivotArea dataOnly="0" labelOnly="1" outline="0" fieldPosition="0">
        <references count="1">
          <reference field="30" count="0"/>
        </references>
      </pivotArea>
    </format>
    <format dxfId="719">
      <pivotArea dataOnly="0" labelOnly="1" grandRow="1" outline="0" fieldPosition="0"/>
    </format>
    <format dxfId="718">
      <pivotArea dataOnly="0" labelOnly="1" outline="0" fieldPosition="0">
        <references count="1">
          <reference field="1" count="0"/>
        </references>
      </pivotArea>
    </format>
    <format dxfId="717">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4B286EFC-C27C-F24C-940B-2F996D98389C}" name="Tableau croisé dynamique30"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103:G114"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axis="axisRow" compact="0" outline="0" subtotalTop="0" showAll="0" includeNewItemsInFilter="1" sortType="ascending">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30"/>
  </rowFields>
  <rowItems count="10">
    <i>
      <x v="1"/>
    </i>
    <i>
      <x v="2"/>
    </i>
    <i>
      <x v="3"/>
    </i>
    <i>
      <x v="4"/>
    </i>
    <i>
      <x v="5"/>
    </i>
    <i>
      <x v="6"/>
    </i>
    <i>
      <x v="7"/>
    </i>
    <i>
      <x v="8"/>
    </i>
    <i>
      <x v="9"/>
    </i>
    <i t="grand">
      <x/>
    </i>
  </rowItems>
  <colFields count="1">
    <field x="1"/>
  </colFields>
  <colItems count="3">
    <i>
      <x v="1"/>
    </i>
    <i>
      <x v="2"/>
    </i>
    <i t="grand">
      <x/>
    </i>
  </colItems>
  <dataFields count="1">
    <dataField name="NB sur NOM" fld="0" subtotal="count" baseField="0" baseItem="0"/>
  </dataFields>
  <formats count="29">
    <format dxfId="771">
      <pivotArea field="1" grandRow="1" outline="0" axis="axisCol" fieldPosition="0">
        <references count="1">
          <reference field="1" count="2" selected="0">
            <x v="1"/>
            <x v="2"/>
          </reference>
        </references>
      </pivotArea>
    </format>
    <format dxfId="770">
      <pivotArea grandRow="1" grandCol="1" outline="0" fieldPosition="0"/>
    </format>
    <format dxfId="769">
      <pivotArea outline="0" fieldPosition="0"/>
    </format>
    <format dxfId="768">
      <pivotArea type="all" dataOnly="0" outline="0" fieldPosition="0"/>
    </format>
    <format dxfId="767">
      <pivotArea type="all" dataOnly="0" outline="0" fieldPosition="0"/>
    </format>
    <format dxfId="766">
      <pivotArea type="all" dataOnly="0" outline="0" fieldPosition="0"/>
    </format>
    <format dxfId="765">
      <pivotArea type="all" dataOnly="0" outline="0" fieldPosition="0"/>
    </format>
    <format dxfId="764">
      <pivotArea type="all" dataOnly="0" outline="0" fieldPosition="0"/>
    </format>
    <format dxfId="763">
      <pivotArea type="all" dataOnly="0" outline="0" fieldPosition="0"/>
    </format>
    <format dxfId="762">
      <pivotArea type="all" dataOnly="0" outline="0" fieldPosition="0"/>
    </format>
    <format dxfId="761">
      <pivotArea outline="0" collapsedLevelsAreSubtotals="1" fieldPosition="0"/>
    </format>
    <format dxfId="760">
      <pivotArea type="origin" dataOnly="0" labelOnly="1" outline="0" fieldPosition="0"/>
    </format>
    <format dxfId="759">
      <pivotArea field="1" type="button" dataOnly="0" labelOnly="1" outline="0" axis="axisCol" fieldPosition="0"/>
    </format>
    <format dxfId="758">
      <pivotArea type="topRight" dataOnly="0" labelOnly="1" outline="0" fieldPosition="0"/>
    </format>
    <format dxfId="757">
      <pivotArea field="30" type="button" dataOnly="0" labelOnly="1" outline="0" axis="axisRow" fieldPosition="0"/>
    </format>
    <format dxfId="756">
      <pivotArea dataOnly="0" labelOnly="1" outline="0" fieldPosition="0">
        <references count="1">
          <reference field="30" count="0"/>
        </references>
      </pivotArea>
    </format>
    <format dxfId="755">
      <pivotArea dataOnly="0" labelOnly="1" grandRow="1" outline="0" fieldPosition="0"/>
    </format>
    <format dxfId="754">
      <pivotArea dataOnly="0" labelOnly="1" outline="0" fieldPosition="0">
        <references count="1">
          <reference field="1" count="0"/>
        </references>
      </pivotArea>
    </format>
    <format dxfId="753">
      <pivotArea dataOnly="0" labelOnly="1" grandCol="1" outline="0" fieldPosition="0"/>
    </format>
    <format dxfId="752">
      <pivotArea type="all" dataOnly="0" outline="0" fieldPosition="0"/>
    </format>
    <format dxfId="751">
      <pivotArea outline="0" collapsedLevelsAreSubtotals="1" fieldPosition="0"/>
    </format>
    <format dxfId="750">
      <pivotArea type="origin" dataOnly="0" labelOnly="1" outline="0" fieldPosition="0"/>
    </format>
    <format dxfId="749">
      <pivotArea field="1" type="button" dataOnly="0" labelOnly="1" outline="0" axis="axisCol" fieldPosition="0"/>
    </format>
    <format dxfId="748">
      <pivotArea type="topRight" dataOnly="0" labelOnly="1" outline="0" fieldPosition="0"/>
    </format>
    <format dxfId="747">
      <pivotArea field="30" type="button" dataOnly="0" labelOnly="1" outline="0" axis="axisRow" fieldPosition="0"/>
    </format>
    <format dxfId="746">
      <pivotArea dataOnly="0" labelOnly="1" outline="0" fieldPosition="0">
        <references count="1">
          <reference field="30" count="0"/>
        </references>
      </pivotArea>
    </format>
    <format dxfId="745">
      <pivotArea dataOnly="0" labelOnly="1" grandRow="1" outline="0" fieldPosition="0"/>
    </format>
    <format dxfId="744">
      <pivotArea dataOnly="0" labelOnly="1" outline="0" fieldPosition="0">
        <references count="1">
          <reference field="1" count="0"/>
        </references>
      </pivotArea>
    </format>
    <format dxfId="743">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FC8DB12B-FD2F-0940-B407-CE0376ED199B}" name="PivotTable10"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N103:Q109" firstHeaderRow="1" firstDataRow="2" firstDataCol="1"/>
  <pivotFields count="36">
    <pivotField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dataField="1"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moy d'ancienneté" fld="28" subtotal="average" baseField="0" baseItem="0"/>
  </dataFields>
  <formats count="50">
    <format dxfId="821">
      <pivotArea field="1" grandRow="1" outline="0" axis="axisCol" fieldPosition="0">
        <references count="1">
          <reference field="1" count="2" selected="0">
            <x v="1"/>
            <x v="2"/>
          </reference>
        </references>
      </pivotArea>
    </format>
    <format dxfId="820">
      <pivotArea grandRow="1" grandCol="1" outline="0" fieldPosition="0"/>
    </format>
    <format dxfId="819">
      <pivotArea outline="0" fieldPosition="0"/>
    </format>
    <format dxfId="818">
      <pivotArea type="all" dataOnly="0" outline="0" fieldPosition="0"/>
    </format>
    <format dxfId="817">
      <pivotArea type="all" dataOnly="0" outline="0" fieldPosition="0"/>
    </format>
    <format dxfId="816">
      <pivotArea type="all" dataOnly="0" outline="0" fieldPosition="0"/>
    </format>
    <format dxfId="815">
      <pivotArea type="all" dataOnly="0" outline="0" fieldPosition="0"/>
    </format>
    <format dxfId="814">
      <pivotArea type="all" dataOnly="0" outline="0" fieldPosition="0"/>
    </format>
    <format dxfId="813">
      <pivotArea type="all" dataOnly="0" outline="0" fieldPosition="0"/>
    </format>
    <format dxfId="812">
      <pivotArea outline="0" fieldPosition="0"/>
    </format>
    <format dxfId="811">
      <pivotArea type="all" dataOnly="0" outline="0" fieldPosition="0"/>
    </format>
    <format dxfId="810">
      <pivotArea outline="0" fieldPosition="0"/>
    </format>
    <format dxfId="809">
      <pivotArea type="origin" dataOnly="0" labelOnly="1" outline="0" fieldPosition="0"/>
    </format>
    <format dxfId="808">
      <pivotArea field="1" type="button" dataOnly="0" labelOnly="1" outline="0" axis="axisCol" fieldPosition="0"/>
    </format>
    <format dxfId="807">
      <pivotArea type="topRight" dataOnly="0" labelOnly="1" outline="0" fieldPosition="0"/>
    </format>
    <format dxfId="806">
      <pivotArea field="5" type="button" dataOnly="0" labelOnly="1" outline="0" axis="axisRow" fieldPosition="0"/>
    </format>
    <format dxfId="805">
      <pivotArea dataOnly="0" labelOnly="1" outline="0" fieldPosition="0">
        <references count="1">
          <reference field="5" count="0"/>
        </references>
      </pivotArea>
    </format>
    <format dxfId="804">
      <pivotArea dataOnly="0" labelOnly="1" grandRow="1" outline="0" fieldPosition="0"/>
    </format>
    <format dxfId="803">
      <pivotArea dataOnly="0" labelOnly="1" outline="0" fieldPosition="0">
        <references count="1">
          <reference field="1" count="0"/>
        </references>
      </pivotArea>
    </format>
    <format dxfId="802">
      <pivotArea dataOnly="0" labelOnly="1" grandCol="1" outline="0" fieldPosition="0"/>
    </format>
    <format dxfId="801">
      <pivotArea type="all" dataOnly="0" outline="0" fieldPosition="0"/>
    </format>
    <format dxfId="800">
      <pivotArea outline="0" collapsedLevelsAreSubtotals="1" fieldPosition="0"/>
    </format>
    <format dxfId="799">
      <pivotArea type="origin" dataOnly="0" labelOnly="1" outline="0" fieldPosition="0"/>
    </format>
    <format dxfId="798">
      <pivotArea field="1" type="button" dataOnly="0" labelOnly="1" outline="0" axis="axisCol" fieldPosition="0"/>
    </format>
    <format dxfId="797">
      <pivotArea type="topRight" dataOnly="0" labelOnly="1" outline="0" fieldPosition="0"/>
    </format>
    <format dxfId="796">
      <pivotArea field="5" type="button" dataOnly="0" labelOnly="1" outline="0" axis="axisRow" fieldPosition="0"/>
    </format>
    <format dxfId="795">
      <pivotArea dataOnly="0" labelOnly="1" outline="0" fieldPosition="0">
        <references count="1">
          <reference field="5" count="0"/>
        </references>
      </pivotArea>
    </format>
    <format dxfId="794">
      <pivotArea dataOnly="0" labelOnly="1" grandRow="1" outline="0" fieldPosition="0"/>
    </format>
    <format dxfId="793">
      <pivotArea dataOnly="0" labelOnly="1" outline="0" fieldPosition="0">
        <references count="1">
          <reference field="1" count="0"/>
        </references>
      </pivotArea>
    </format>
    <format dxfId="792">
      <pivotArea dataOnly="0" labelOnly="1" grandCol="1" outline="0" fieldPosition="0"/>
    </format>
    <format dxfId="791">
      <pivotArea type="all" dataOnly="0" outline="0" fieldPosition="0"/>
    </format>
    <format dxfId="790">
      <pivotArea outline="0" collapsedLevelsAreSubtotals="1" fieldPosition="0"/>
    </format>
    <format dxfId="789">
      <pivotArea type="origin" dataOnly="0" labelOnly="1" outline="0" fieldPosition="0"/>
    </format>
    <format dxfId="788">
      <pivotArea field="1" type="button" dataOnly="0" labelOnly="1" outline="0" axis="axisCol" fieldPosition="0"/>
    </format>
    <format dxfId="787">
      <pivotArea type="topRight" dataOnly="0" labelOnly="1" outline="0" fieldPosition="0"/>
    </format>
    <format dxfId="786">
      <pivotArea field="5" type="button" dataOnly="0" labelOnly="1" outline="0" axis="axisRow" fieldPosition="0"/>
    </format>
    <format dxfId="785">
      <pivotArea dataOnly="0" labelOnly="1" outline="0" fieldPosition="0">
        <references count="1">
          <reference field="5" count="0"/>
        </references>
      </pivotArea>
    </format>
    <format dxfId="784">
      <pivotArea dataOnly="0" labelOnly="1" grandRow="1" outline="0" fieldPosition="0"/>
    </format>
    <format dxfId="783">
      <pivotArea dataOnly="0" labelOnly="1" outline="0" fieldPosition="0">
        <references count="1">
          <reference field="1" count="0"/>
        </references>
      </pivotArea>
    </format>
    <format dxfId="782">
      <pivotArea dataOnly="0" labelOnly="1" grandCol="1" outline="0" fieldPosition="0"/>
    </format>
    <format dxfId="781">
      <pivotArea type="all" dataOnly="0" outline="0" fieldPosition="0"/>
    </format>
    <format dxfId="780">
      <pivotArea outline="0" collapsedLevelsAreSubtotals="1" fieldPosition="0"/>
    </format>
    <format dxfId="779">
      <pivotArea type="origin" dataOnly="0" labelOnly="1" outline="0" fieldPosition="0"/>
    </format>
    <format dxfId="778">
      <pivotArea field="1" type="button" dataOnly="0" labelOnly="1" outline="0" axis="axisCol" fieldPosition="0"/>
    </format>
    <format dxfId="777">
      <pivotArea type="topRight" dataOnly="0" labelOnly="1" outline="0" fieldPosition="0"/>
    </format>
    <format dxfId="776">
      <pivotArea field="5" type="button" dataOnly="0" labelOnly="1" outline="0" axis="axisRow" fieldPosition="0"/>
    </format>
    <format dxfId="775">
      <pivotArea dataOnly="0" labelOnly="1" outline="0" fieldPosition="0">
        <references count="1">
          <reference field="5" count="0"/>
        </references>
      </pivotArea>
    </format>
    <format dxfId="774">
      <pivotArea dataOnly="0" labelOnly="1" grandRow="1" outline="0" fieldPosition="0"/>
    </format>
    <format dxfId="773">
      <pivotArea dataOnly="0" labelOnly="1" outline="0" fieldPosition="0">
        <references count="1">
          <reference field="1" count="0"/>
        </references>
      </pivotArea>
    </format>
    <format dxfId="772">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F91F61C9-97E2-3143-8F88-DCDE0B61E653}" name="Tableau croisé dynamique7"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N65:Q69"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axis="axisRow" compact="0" outline="0" subtotalTop="0" showAll="0" includeNewItemsInFilter="1">
      <items count="3">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7"/>
  </rowFields>
  <rowItems count="3">
    <i>
      <x/>
    </i>
    <i>
      <x v="1"/>
    </i>
    <i t="grand">
      <x/>
    </i>
  </rowItems>
  <colFields count="1">
    <field x="1"/>
  </colFields>
  <colItems count="3">
    <i>
      <x v="1"/>
    </i>
    <i>
      <x v="2"/>
    </i>
    <i t="grand">
      <x/>
    </i>
  </colItems>
  <dataFields count="1">
    <dataField name="NB sur NOM" fld="0" subtotal="count" showDataAs="percentOfRow" baseField="0" baseItem="0" numFmtId="9"/>
  </dataFields>
  <formats count="9">
    <format dxfId="830">
      <pivotArea field="1" grandRow="1" outline="0" axis="axisCol" fieldPosition="0">
        <references count="1">
          <reference field="1" count="2" selected="0">
            <x v="1"/>
            <x v="2"/>
          </reference>
        </references>
      </pivotArea>
    </format>
    <format dxfId="829">
      <pivotArea field="1" grandRow="1" outline="0" axis="axisCol" fieldPosition="0">
        <references count="1">
          <reference field="1" count="2" selected="0">
            <x v="1"/>
            <x v="2"/>
          </reference>
        </references>
      </pivotArea>
    </format>
    <format dxfId="828">
      <pivotArea field="1" grandRow="1" outline="0" axis="axisCol" fieldPosition="0">
        <references count="1">
          <reference field="1" count="2" selected="0">
            <x v="1"/>
            <x v="2"/>
          </reference>
        </references>
      </pivotArea>
    </format>
    <format dxfId="827">
      <pivotArea field="1" grandRow="1" outline="0" axis="axisCol" fieldPosition="0">
        <references count="1">
          <reference field="1" count="2" selected="0">
            <x v="1"/>
            <x v="2"/>
          </reference>
        </references>
      </pivotArea>
    </format>
    <format dxfId="826">
      <pivotArea outline="0" fieldPosition="0">
        <references count="1">
          <reference field="1" count="2" selected="0">
            <x v="1"/>
            <x v="2"/>
          </reference>
        </references>
      </pivotArea>
    </format>
    <format dxfId="825">
      <pivotArea type="all" dataOnly="0" outline="0" fieldPosition="0"/>
    </format>
    <format dxfId="824">
      <pivotArea dataOnly="0" labelOnly="1" outline="0" fieldPosition="0">
        <references count="1">
          <reference field="17" count="0"/>
        </references>
      </pivotArea>
    </format>
    <format dxfId="823">
      <pivotArea dataOnly="0" labelOnly="1" outline="0" fieldPosition="0">
        <references count="1">
          <reference field="17" count="0"/>
        </references>
      </pivotArea>
    </format>
    <format dxfId="822">
      <pivotArea dataOnly="0" labelOnly="1" outline="0" fieldPosition="0">
        <references count="1">
          <reference field="17" count="0"/>
        </references>
      </pivotArea>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284F629A-DC82-6540-B2C6-FFD0A663845F}" name="Tableau croisé dynamique2"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X65:AA69"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axis="axisCol" compact="0" outline="0" subtotalTop="0" showAll="0" includeNewItemsInFilter="1">
      <items count="3">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17"/>
  </colFields>
  <colItems count="3">
    <i>
      <x/>
    </i>
    <i>
      <x v="1"/>
    </i>
    <i t="grand">
      <x/>
    </i>
  </colItems>
  <dataFields count="1">
    <dataField name="Promotions" fld="0" subtotal="count" showDataAs="percentOfRow" baseField="0" baseItem="0" numFmtId="9"/>
  </dataFields>
  <formats count="15">
    <format dxfId="845">
      <pivotArea type="all" dataOnly="0" outline="0" fieldPosition="0"/>
    </format>
    <format dxfId="844">
      <pivotArea type="all" dataOnly="0" outline="0" fieldPosition="0"/>
    </format>
    <format dxfId="843">
      <pivotArea type="all" dataOnly="0" outline="0" fieldPosition="0"/>
    </format>
    <format dxfId="842">
      <pivotArea outline="0" fieldPosition="0"/>
    </format>
    <format dxfId="841">
      <pivotArea type="origin" dataOnly="0" labelOnly="1" outline="0" fieldPosition="0"/>
    </format>
    <format dxfId="840">
      <pivotArea field="17" type="button" dataOnly="0" labelOnly="1" outline="0" axis="axisCol" fieldPosition="0"/>
    </format>
    <format dxfId="839">
      <pivotArea type="topRight" dataOnly="0" labelOnly="1" outline="0" fieldPosition="0"/>
    </format>
    <format dxfId="838">
      <pivotArea field="1" type="button" dataOnly="0" labelOnly="1" outline="0" axis="axisRow" fieldPosition="0"/>
    </format>
    <format dxfId="837">
      <pivotArea dataOnly="0" labelOnly="1" outline="0" fieldPosition="0">
        <references count="1">
          <reference field="1" count="0"/>
        </references>
      </pivotArea>
    </format>
    <format dxfId="836">
      <pivotArea dataOnly="0" labelOnly="1" grandRow="1" outline="0" fieldPosition="0"/>
    </format>
    <format dxfId="835">
      <pivotArea dataOnly="0" labelOnly="1" outline="0" fieldPosition="0">
        <references count="1">
          <reference field="17" count="0"/>
        </references>
      </pivotArea>
    </format>
    <format dxfId="834">
      <pivotArea dataOnly="0" labelOnly="1" grandCol="1" outline="0" fieldPosition="0"/>
    </format>
    <format dxfId="833">
      <pivotArea dataOnly="0" labelOnly="1" outline="0" fieldPosition="0">
        <references count="1">
          <reference field="17" count="0"/>
        </references>
      </pivotArea>
    </format>
    <format dxfId="832">
      <pivotArea dataOnly="0" labelOnly="1" outline="0" fieldPosition="0">
        <references count="1">
          <reference field="17" count="0"/>
        </references>
      </pivotArea>
    </format>
    <format dxfId="831">
      <pivotArea dataOnly="0" labelOnly="1" outline="0" fieldPosition="0">
        <references count="1">
          <reference field="17" count="0"/>
        </references>
      </pivotArea>
    </format>
  </formats>
  <chartFormats count="2">
    <chartFormat chart="0" format="10" series="1">
      <pivotArea type="data" outline="0" fieldPosition="0">
        <references count="2">
          <reference field="4294967294" count="1" selected="0">
            <x v="0"/>
          </reference>
          <reference field="17" count="1" selected="0">
            <x v="0"/>
          </reference>
        </references>
      </pivotArea>
    </chartFormat>
    <chartFormat chart="0" format="11" series="1">
      <pivotArea type="data" outline="0" fieldPosition="0">
        <references count="2">
          <reference field="4294967294" count="1" selected="0">
            <x v="0"/>
          </reference>
          <reference field="17"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417F0DF6-7EB1-C444-A334-E6A768E8117B}" name="Tableau croisé dynamique32"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AC103:AM107"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axis="axisCol" compact="0" outline="0" subtotalTop="0" showAll="0" includeNewItemsInFilter="1">
      <items count="11">
        <item x="6"/>
        <item x="5"/>
        <item x="4"/>
        <item x="0"/>
        <item x="3"/>
        <item x="2"/>
        <item x="1"/>
        <item x="8"/>
        <item x="7"/>
        <item m="1" x="9"/>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30"/>
  </colFields>
  <colItems count="10">
    <i>
      <x/>
    </i>
    <i>
      <x v="1"/>
    </i>
    <i>
      <x v="2"/>
    </i>
    <i>
      <x v="3"/>
    </i>
    <i>
      <x v="4"/>
    </i>
    <i>
      <x v="5"/>
    </i>
    <i>
      <x v="6"/>
    </i>
    <i>
      <x v="7"/>
    </i>
    <i>
      <x v="8"/>
    </i>
    <i t="grand">
      <x/>
    </i>
  </colItems>
  <dataFields count="1">
    <dataField name="NB sur NOM" fld="0" subtotal="count" showDataAs="percentOfCol" baseField="0" baseItem="0" numFmtId="9"/>
  </dataFields>
  <formats count="21">
    <format dxfId="866">
      <pivotArea type="all" dataOnly="0" outline="0" fieldPosition="0"/>
    </format>
    <format dxfId="865">
      <pivotArea type="all" dataOnly="0" outline="0" fieldPosition="0"/>
    </format>
    <format dxfId="864">
      <pivotArea outline="0" collapsedLevelsAreSubtotals="1" fieldPosition="0"/>
    </format>
    <format dxfId="863">
      <pivotArea type="origin" dataOnly="0" labelOnly="1" outline="0" fieldPosition="0"/>
    </format>
    <format dxfId="862">
      <pivotArea field="30" type="button" dataOnly="0" labelOnly="1" outline="0" axis="axisCol" fieldPosition="0"/>
    </format>
    <format dxfId="861">
      <pivotArea type="topRight" dataOnly="0" labelOnly="1" outline="0" fieldPosition="0"/>
    </format>
    <format dxfId="860">
      <pivotArea field="1" type="button" dataOnly="0" labelOnly="1" outline="0" axis="axisRow" fieldPosition="0"/>
    </format>
    <format dxfId="859">
      <pivotArea dataOnly="0" labelOnly="1" outline="0" fieldPosition="0">
        <references count="1">
          <reference field="1" count="0"/>
        </references>
      </pivotArea>
    </format>
    <format dxfId="858">
      <pivotArea dataOnly="0" labelOnly="1" grandRow="1" outline="0" fieldPosition="0"/>
    </format>
    <format dxfId="857">
      <pivotArea dataOnly="0" labelOnly="1" outline="0" fieldPosition="0">
        <references count="1">
          <reference field="30" count="0"/>
        </references>
      </pivotArea>
    </format>
    <format dxfId="856">
      <pivotArea dataOnly="0" labelOnly="1" grandCol="1" outline="0" fieldPosition="0"/>
    </format>
    <format dxfId="855">
      <pivotArea type="all" dataOnly="0" outline="0" fieldPosition="0"/>
    </format>
    <format dxfId="854">
      <pivotArea outline="0" collapsedLevelsAreSubtotals="1" fieldPosition="0"/>
    </format>
    <format dxfId="853">
      <pivotArea type="origin" dataOnly="0" labelOnly="1" outline="0" fieldPosition="0"/>
    </format>
    <format dxfId="852">
      <pivotArea field="30" type="button" dataOnly="0" labelOnly="1" outline="0" axis="axisCol" fieldPosition="0"/>
    </format>
    <format dxfId="851">
      <pivotArea type="topRight" dataOnly="0" labelOnly="1" outline="0" fieldPosition="0"/>
    </format>
    <format dxfId="850">
      <pivotArea field="1" type="button" dataOnly="0" labelOnly="1" outline="0" axis="axisRow" fieldPosition="0"/>
    </format>
    <format dxfId="849">
      <pivotArea dataOnly="0" labelOnly="1" outline="0" fieldPosition="0">
        <references count="1">
          <reference field="1" count="0"/>
        </references>
      </pivotArea>
    </format>
    <format dxfId="848">
      <pivotArea dataOnly="0" labelOnly="1" grandRow="1" outline="0" fieldPosition="0"/>
    </format>
    <format dxfId="847">
      <pivotArea dataOnly="0" labelOnly="1" outline="0" fieldPosition="0">
        <references count="1">
          <reference field="30" count="0"/>
        </references>
      </pivotArea>
    </format>
    <format dxfId="846">
      <pivotArea dataOnly="0" labelOnly="1" grandCol="1" outline="0" fieldPosition="0"/>
    </format>
  </formats>
  <chartFormats count="11">
    <chartFormat chart="0" format="10" series="1">
      <pivotArea type="data" outline="0" fieldPosition="0">
        <references count="2">
          <reference field="4294967294" count="1" selected="0">
            <x v="0"/>
          </reference>
          <reference field="30" count="1" selected="0">
            <x v="0"/>
          </reference>
        </references>
      </pivotArea>
    </chartFormat>
    <chartFormat chart="0" format="11" series="1">
      <pivotArea type="data" outline="0" fieldPosition="0">
        <references count="2">
          <reference field="4294967294" count="1" selected="0">
            <x v="0"/>
          </reference>
          <reference field="30" count="1" selected="0">
            <x v="1"/>
          </reference>
        </references>
      </pivotArea>
    </chartFormat>
    <chartFormat chart="0" format="12" series="1">
      <pivotArea type="data" outline="0" fieldPosition="0">
        <references count="2">
          <reference field="4294967294" count="1" selected="0">
            <x v="0"/>
          </reference>
          <reference field="30" count="1" selected="0">
            <x v="2"/>
          </reference>
        </references>
      </pivotArea>
    </chartFormat>
    <chartFormat chart="0" format="13" series="1">
      <pivotArea type="data" outline="0" fieldPosition="0">
        <references count="2">
          <reference field="4294967294" count="1" selected="0">
            <x v="0"/>
          </reference>
          <reference field="30" count="1" selected="0">
            <x v="3"/>
          </reference>
        </references>
      </pivotArea>
    </chartFormat>
    <chartFormat chart="0" format="14" series="1">
      <pivotArea type="data" outline="0" fieldPosition="0">
        <references count="2">
          <reference field="4294967294" count="1" selected="0">
            <x v="0"/>
          </reference>
          <reference field="30" count="1" selected="0">
            <x v="4"/>
          </reference>
        </references>
      </pivotArea>
    </chartFormat>
    <chartFormat chart="0" format="15" series="1">
      <pivotArea type="data" outline="0" fieldPosition="0">
        <references count="2">
          <reference field="4294967294" count="1" selected="0">
            <x v="0"/>
          </reference>
          <reference field="30" count="1" selected="0">
            <x v="5"/>
          </reference>
        </references>
      </pivotArea>
    </chartFormat>
    <chartFormat chart="0" format="16" series="1">
      <pivotArea type="data" outline="0" fieldPosition="0">
        <references count="2">
          <reference field="4294967294" count="1" selected="0">
            <x v="0"/>
          </reference>
          <reference field="30" count="1" selected="0">
            <x v="6"/>
          </reference>
        </references>
      </pivotArea>
    </chartFormat>
    <chartFormat chart="0" format="17" series="1">
      <pivotArea type="data" outline="0" fieldPosition="0">
        <references count="2">
          <reference field="4294967294" count="1" selected="0">
            <x v="0"/>
          </reference>
          <reference field="30" count="1" selected="0">
            <x v="7"/>
          </reference>
        </references>
      </pivotArea>
    </chartFormat>
    <chartFormat chart="0" format="18" series="1">
      <pivotArea type="data" outline="0" fieldPosition="0">
        <references count="2">
          <reference field="4294967294" count="1" selected="0">
            <x v="0"/>
          </reference>
          <reference field="30" count="1" selected="0">
            <x v="8"/>
          </reference>
        </references>
      </pivotArea>
    </chartFormat>
    <chartFormat chart="0" format="19">
      <pivotArea type="data" outline="0" fieldPosition="0">
        <references count="3">
          <reference field="4294967294" count="1" selected="0">
            <x v="0"/>
          </reference>
          <reference field="1" count="1" selected="0">
            <x v="0"/>
          </reference>
          <reference field="30" count="1" selected="0">
            <x v="3"/>
          </reference>
        </references>
      </pivotArea>
    </chartFormat>
    <chartFormat chart="0" format="20">
      <pivotArea type="data" outline="0" fieldPosition="0">
        <references count="3">
          <reference field="4294967294" count="1" selected="0">
            <x v="0"/>
          </reference>
          <reference field="1" count="1" selected="0">
            <x v="1"/>
          </reference>
          <reference field="3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9EC9DDCA-D166-274C-83EE-506A6E883A04}" name="Tableau croisé dynamique38"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3">
  <location ref="AC205:AI209"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axis="axisCol" compact="0" outline="0" subtotalTop="0" showAll="0" includeNewItemsInFilter="1" defaultSubtotal="0">
      <items count="5">
        <item x="0"/>
        <item x="1"/>
        <item x="2"/>
        <item x="3"/>
        <item x="4"/>
      </items>
    </pivotField>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31"/>
  </colFields>
  <colItems count="6">
    <i>
      <x/>
    </i>
    <i>
      <x v="1"/>
    </i>
    <i>
      <x v="2"/>
    </i>
    <i>
      <x v="3"/>
    </i>
    <i>
      <x v="4"/>
    </i>
    <i t="grand">
      <x/>
    </i>
  </colItems>
  <dataFields count="1">
    <dataField name="NB sur NOM" fld="0" subtotal="count" showDataAs="percentOfRow" baseField="0" baseItem="0" numFmtId="9"/>
  </dataFields>
  <formats count="1">
    <format dxfId="867">
      <pivotArea type="all" dataOnly="0" outline="0" fieldPosition="0"/>
    </format>
  </formats>
  <chartFormats count="7">
    <chartFormat chart="2" format="21" series="1">
      <pivotArea type="data" outline="0" fieldPosition="0">
        <references count="2">
          <reference field="4294967294" count="1" selected="0">
            <x v="0"/>
          </reference>
          <reference field="31" count="1" selected="0">
            <x v="0"/>
          </reference>
        </references>
      </pivotArea>
    </chartFormat>
    <chartFormat chart="2" format="22" series="1">
      <pivotArea type="data" outline="0" fieldPosition="0">
        <references count="2">
          <reference field="4294967294" count="1" selected="0">
            <x v="0"/>
          </reference>
          <reference field="31" count="1" selected="0">
            <x v="1"/>
          </reference>
        </references>
      </pivotArea>
    </chartFormat>
    <chartFormat chart="2" format="23" series="1">
      <pivotArea type="data" outline="0" fieldPosition="0">
        <references count="2">
          <reference field="4294967294" count="1" selected="0">
            <x v="0"/>
          </reference>
          <reference field="31" count="1" selected="0">
            <x v="2"/>
          </reference>
        </references>
      </pivotArea>
    </chartFormat>
    <chartFormat chart="2" format="24" series="1">
      <pivotArea type="data" outline="0" fieldPosition="0">
        <references count="2">
          <reference field="4294967294" count="1" selected="0">
            <x v="0"/>
          </reference>
          <reference field="31" count="1" selected="0">
            <x v="3"/>
          </reference>
        </references>
      </pivotArea>
    </chartFormat>
    <chartFormat chart="2" format="25">
      <pivotArea type="data" outline="0" fieldPosition="0">
        <references count="3">
          <reference field="4294967294" count="1" selected="0">
            <x v="0"/>
          </reference>
          <reference field="1" count="1" selected="0">
            <x v="0"/>
          </reference>
          <reference field="31" count="1" selected="0">
            <x v="3"/>
          </reference>
        </references>
      </pivotArea>
    </chartFormat>
    <chartFormat chart="2" format="26">
      <pivotArea type="data" outline="0" fieldPosition="0">
        <references count="3">
          <reference field="4294967294" count="1" selected="0">
            <x v="0"/>
          </reference>
          <reference field="1" count="1" selected="0">
            <x v="1"/>
          </reference>
          <reference field="31" count="1" selected="0">
            <x v="3"/>
          </reference>
        </references>
      </pivotArea>
    </chartFormat>
    <chartFormat chart="2" format="27" series="1">
      <pivotArea type="data" outline="0" fieldPosition="0">
        <references count="2">
          <reference field="4294967294" count="1" selected="0">
            <x v="0"/>
          </reference>
          <reference field="31" count="1" selected="0">
            <x v="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F27145D-C590-BB40-9570-A222234BB911}" name="Tableau croisé dynamique7"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Q38"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showAll="0"/>
    <pivotField axis="axisRow" showAll="0">
      <items count="6">
        <item m="1" x="4"/>
        <item m="1" x="3"/>
        <item m="1" x="1"/>
        <item m="1" x="2"/>
        <item x="0"/>
        <item t="default"/>
      </items>
    </pivotField>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11"/>
  </rowFields>
  <rowItems count="1">
    <i>
      <x v="4"/>
    </i>
  </rowItems>
  <colItems count="1">
    <i/>
  </colItems>
  <formats count="1">
    <format dxfId="1752">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FEFB137C-5541-7943-86B8-F7B00E0D4C51}" name="Tableau croisé dynamique36"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3">
  <location ref="N205:Q211" firstHeaderRow="1" firstDataRow="2" firstDataCol="1"/>
  <pivotFields count="36">
    <pivotField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MOY REMUNERATION" fld="19" subtotal="average" baseField="0" baseItem="0"/>
  </dataFields>
  <formats count="20">
    <format dxfId="887">
      <pivotArea field="1" grandRow="1" outline="0" axis="axisCol" fieldPosition="0">
        <references count="1">
          <reference field="1" count="2" selected="0">
            <x v="1"/>
            <x v="2"/>
          </reference>
        </references>
      </pivotArea>
    </format>
    <format dxfId="886">
      <pivotArea grandRow="1" grandCol="1" outline="0" fieldPosition="0"/>
    </format>
    <format dxfId="885">
      <pivotArea outline="0" fieldPosition="0"/>
    </format>
    <format dxfId="884">
      <pivotArea type="all" dataOnly="0" outline="0" fieldPosition="0"/>
    </format>
    <format dxfId="883">
      <pivotArea type="all" dataOnly="0" outline="0" fieldPosition="0"/>
    </format>
    <format dxfId="882">
      <pivotArea type="all" dataOnly="0" outline="0" fieldPosition="0"/>
    </format>
    <format dxfId="881">
      <pivotArea type="all" dataOnly="0" outline="0" fieldPosition="0"/>
    </format>
    <format dxfId="880">
      <pivotArea type="all" dataOnly="0" outline="0" fieldPosition="0"/>
    </format>
    <format dxfId="879">
      <pivotArea type="all" dataOnly="0" outline="0" fieldPosition="0"/>
    </format>
    <format dxfId="878">
      <pivotArea outline="0" fieldPosition="0"/>
    </format>
    <format dxfId="877">
      <pivotArea type="all" dataOnly="0" outline="0" fieldPosition="0"/>
    </format>
    <format dxfId="876">
      <pivotArea outline="0" collapsedLevelsAreSubtotals="1" fieldPosition="0"/>
    </format>
    <format dxfId="875">
      <pivotArea type="origin" dataOnly="0" labelOnly="1" outline="0" fieldPosition="0"/>
    </format>
    <format dxfId="874">
      <pivotArea field="1" type="button" dataOnly="0" labelOnly="1" outline="0" axis="axisCol" fieldPosition="0"/>
    </format>
    <format dxfId="873">
      <pivotArea type="topRight" dataOnly="0" labelOnly="1" outline="0" fieldPosition="0"/>
    </format>
    <format dxfId="872">
      <pivotArea field="5" type="button" dataOnly="0" labelOnly="1" outline="0" axis="axisRow" fieldPosition="0"/>
    </format>
    <format dxfId="871">
      <pivotArea dataOnly="0" labelOnly="1" outline="0" fieldPosition="0">
        <references count="1">
          <reference field="5" count="0"/>
        </references>
      </pivotArea>
    </format>
    <format dxfId="870">
      <pivotArea dataOnly="0" labelOnly="1" grandRow="1" outline="0" fieldPosition="0"/>
    </format>
    <format dxfId="869">
      <pivotArea dataOnly="0" labelOnly="1" outline="0" fieldPosition="0">
        <references count="1">
          <reference field="1" count="0"/>
        </references>
      </pivotArea>
    </format>
    <format dxfId="868">
      <pivotArea dataOnly="0" labelOnly="1" grandCol="1" outline="0" fieldPosition="0"/>
    </format>
  </formats>
  <chartFormats count="2">
    <chartFormat chart="2" format="16" series="1">
      <pivotArea type="data" outline="0" fieldPosition="0">
        <references count="2">
          <reference field="4294967294" count="1" selected="0">
            <x v="0"/>
          </reference>
          <reference field="1" count="1" selected="0">
            <x v="1"/>
          </reference>
        </references>
      </pivotArea>
    </chartFormat>
    <chartFormat chart="2"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50927934-5657-0C4A-BED6-BAE10B38D768}" name="PivotTable11"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AC56:AQ64" firstHeaderRow="1" firstDataRow="4"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axis="axisCol" compact="0" outline="0" subtotalTop="0" showAll="0" includeNewItemsInFilter="1">
      <items count="3">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3">
    <field x="17"/>
    <field x="1"/>
    <field x="-2"/>
  </colFields>
  <colItems count="14">
    <i>
      <x/>
      <x/>
      <x/>
    </i>
    <i r="2" i="1">
      <x v="1"/>
    </i>
    <i r="1">
      <x v="1"/>
      <x/>
    </i>
    <i r="2" i="1">
      <x v="1"/>
    </i>
    <i t="default">
      <x/>
    </i>
    <i t="default" i="1">
      <x/>
    </i>
    <i>
      <x v="1"/>
      <x/>
      <x/>
    </i>
    <i r="2" i="1">
      <x v="1"/>
    </i>
    <i r="1">
      <x v="1"/>
      <x/>
    </i>
    <i r="2" i="1">
      <x v="1"/>
    </i>
    <i t="default">
      <x v="1"/>
    </i>
    <i t="default" i="1">
      <x v="1"/>
    </i>
    <i t="grand">
      <x/>
    </i>
    <i t="grand" i="1">
      <x/>
    </i>
  </colItems>
  <dataFields count="2">
    <dataField name="Promotion " fld="0" subtotal="count" baseField="0" baseItem="0"/>
    <dataField name="NB sur NOM2" fld="0" subtotal="count" showDataAs="percentOfRow" baseField="0" baseItem="0" numFmtId="10"/>
  </dataFields>
  <formats count="40">
    <format dxfId="927">
      <pivotArea field="1" grandRow="1" outline="0" axis="axisCol" fieldPosition="1">
        <references count="1">
          <reference field="1" count="2" selected="0">
            <x v="0"/>
            <x v="1"/>
          </reference>
        </references>
      </pivotArea>
    </format>
    <format dxfId="926">
      <pivotArea field="5" grandCol="1" outline="0" axis="axisRow" fieldPosition="0">
        <references count="1">
          <reference field="5" count="0" selected="0"/>
        </references>
      </pivotArea>
    </format>
    <format dxfId="925">
      <pivotArea grandRow="1" grandCol="1" outline="0" fieldPosition="0"/>
    </format>
    <format dxfId="924">
      <pivotArea outline="0" fieldPosition="0">
        <references count="2">
          <reference field="1" count="2" selected="0">
            <x v="0"/>
            <x v="1"/>
          </reference>
          <reference field="5" count="0" selected="0"/>
        </references>
      </pivotArea>
    </format>
    <format dxfId="923">
      <pivotArea outline="0" fieldPosition="0"/>
    </format>
    <format dxfId="922">
      <pivotArea type="all" dataOnly="0" outline="0" fieldPosition="0"/>
    </format>
    <format dxfId="921">
      <pivotArea type="all" dataOnly="0" outline="0" fieldPosition="0"/>
    </format>
    <format dxfId="920">
      <pivotArea outline="0" fieldPosition="0">
        <references count="2">
          <reference field="1" count="1" selected="0">
            <x v="1"/>
          </reference>
          <reference field="5" count="1" selected="0">
            <x v="5"/>
          </reference>
        </references>
      </pivotArea>
    </format>
    <format dxfId="919">
      <pivotArea type="all" dataOnly="0" outline="0" fieldPosition="0"/>
    </format>
    <format dxfId="918">
      <pivotArea type="all" dataOnly="0" outline="0" fieldPosition="0"/>
    </format>
    <format dxfId="917">
      <pivotArea type="all" dataOnly="0" outline="0" fieldPosition="0"/>
    </format>
    <format dxfId="916">
      <pivotArea type="all" dataOnly="0" outline="0" fieldPosition="0"/>
    </format>
    <format dxfId="915">
      <pivotArea outline="0" fieldPosition="0">
        <references count="1">
          <reference field="4294967294" count="1">
            <x v="1"/>
          </reference>
        </references>
      </pivotArea>
    </format>
    <format dxfId="914">
      <pivotArea type="all" dataOnly="0" outline="0" fieldPosition="0"/>
    </format>
    <format dxfId="913">
      <pivotArea type="all" dataOnly="0" outline="0" fieldPosition="0"/>
    </format>
    <format dxfId="912">
      <pivotArea outline="0" fieldPosition="0"/>
    </format>
    <format dxfId="911">
      <pivotArea type="origin" dataOnly="0" labelOnly="1" outline="0" fieldPosition="0"/>
    </format>
    <format dxfId="910">
      <pivotArea field="17" type="button" dataOnly="0" labelOnly="1" outline="0" axis="axisCol" fieldPosition="0"/>
    </format>
    <format dxfId="909">
      <pivotArea field="1" type="button" dataOnly="0" labelOnly="1" outline="0" axis="axisCol" fieldPosition="1"/>
    </format>
    <format dxfId="908">
      <pivotArea field="-2" type="button" dataOnly="0" labelOnly="1" outline="0" axis="axisCol" fieldPosition="2"/>
    </format>
    <format dxfId="907">
      <pivotArea type="topRight" dataOnly="0" labelOnly="1" outline="0" fieldPosition="0"/>
    </format>
    <format dxfId="906">
      <pivotArea field="5" type="button" dataOnly="0" labelOnly="1" outline="0" axis="axisRow" fieldPosition="0"/>
    </format>
    <format dxfId="905">
      <pivotArea dataOnly="0" labelOnly="1" outline="0" fieldPosition="0">
        <references count="1">
          <reference field="5" count="0"/>
        </references>
      </pivotArea>
    </format>
    <format dxfId="904">
      <pivotArea dataOnly="0" labelOnly="1" grandRow="1" outline="0" fieldPosition="0"/>
    </format>
    <format dxfId="903">
      <pivotArea dataOnly="0" labelOnly="1" outline="0" fieldPosition="0">
        <references count="1">
          <reference field="17" count="0"/>
        </references>
      </pivotArea>
    </format>
    <format dxfId="902">
      <pivotArea dataOnly="0" labelOnly="1" outline="0" fieldPosition="0">
        <references count="2">
          <reference field="4294967294" count="1" selected="0">
            <x v="0"/>
          </reference>
          <reference field="17" count="0" defaultSubtotal="1"/>
        </references>
      </pivotArea>
    </format>
    <format dxfId="901">
      <pivotArea dataOnly="0" labelOnly="1" outline="0" fieldPosition="0">
        <references count="2">
          <reference field="4294967294" count="1" selected="0">
            <x v="1"/>
          </reference>
          <reference field="17" count="0" defaultSubtotal="1"/>
        </references>
      </pivotArea>
    </format>
    <format dxfId="900">
      <pivotArea field="17" dataOnly="0" labelOnly="1" grandCol="1" outline="0" axis="axisCol" fieldPosition="0">
        <references count="1">
          <reference field="4294967294" count="1" selected="0">
            <x v="0"/>
          </reference>
        </references>
      </pivotArea>
    </format>
    <format dxfId="899">
      <pivotArea field="17" dataOnly="0" labelOnly="1" grandCol="1" outline="0" axis="axisCol" fieldPosition="0">
        <references count="1">
          <reference field="4294967294" count="1" selected="0">
            <x v="1"/>
          </reference>
        </references>
      </pivotArea>
    </format>
    <format dxfId="898">
      <pivotArea dataOnly="0" labelOnly="1" outline="0" fieldPosition="0">
        <references count="2">
          <reference field="1" count="0"/>
          <reference field="17" count="1" selected="0">
            <x v="0"/>
          </reference>
        </references>
      </pivotArea>
    </format>
    <format dxfId="897">
      <pivotArea dataOnly="0" labelOnly="1" outline="0" fieldPosition="0">
        <references count="2">
          <reference field="1" count="0"/>
          <reference field="17" count="1" selected="0">
            <x v="1"/>
          </reference>
        </references>
      </pivotArea>
    </format>
    <format dxfId="896">
      <pivotArea dataOnly="0" labelOnly="1" outline="0" fieldPosition="0">
        <references count="3">
          <reference field="4294967294" count="2">
            <x v="0"/>
            <x v="1"/>
          </reference>
          <reference field="1" count="1" selected="0">
            <x v="0"/>
          </reference>
          <reference field="17" count="1" selected="0">
            <x v="0"/>
          </reference>
        </references>
      </pivotArea>
    </format>
    <format dxfId="895">
      <pivotArea dataOnly="0" labelOnly="1" outline="0" fieldPosition="0">
        <references count="3">
          <reference field="4294967294" count="2">
            <x v="0"/>
            <x v="1"/>
          </reference>
          <reference field="1" count="1" selected="0">
            <x v="1"/>
          </reference>
          <reference field="17" count="1" selected="0">
            <x v="0"/>
          </reference>
        </references>
      </pivotArea>
    </format>
    <format dxfId="894">
      <pivotArea dataOnly="0" labelOnly="1" outline="0" fieldPosition="0">
        <references count="3">
          <reference field="4294967294" count="2">
            <x v="0"/>
            <x v="1"/>
          </reference>
          <reference field="1" count="1" selected="0">
            <x v="0"/>
          </reference>
          <reference field="17" count="1" selected="0">
            <x v="1"/>
          </reference>
        </references>
      </pivotArea>
    </format>
    <format dxfId="893">
      <pivotArea dataOnly="0" labelOnly="1" outline="0" fieldPosition="0">
        <references count="3">
          <reference field="4294967294" count="2">
            <x v="0"/>
            <x v="1"/>
          </reference>
          <reference field="1" count="1" selected="0">
            <x v="1"/>
          </reference>
          <reference field="17" count="1" selected="0">
            <x v="1"/>
          </reference>
        </references>
      </pivotArea>
    </format>
    <format dxfId="892">
      <pivotArea outline="0" fieldPosition="0">
        <references count="1">
          <reference field="5" count="3" selected="0">
            <x v="0"/>
            <x v="4"/>
            <x v="5"/>
          </reference>
        </references>
      </pivotArea>
    </format>
    <format dxfId="891">
      <pivotArea dataOnly="0" labelOnly="1" outline="0" fieldPosition="0">
        <references count="1">
          <reference field="17" count="1">
            <x v="0"/>
          </reference>
        </references>
      </pivotArea>
    </format>
    <format dxfId="890">
      <pivotArea dataOnly="0" labelOnly="1" outline="0" fieldPosition="0">
        <references count="1">
          <reference field="17" count="1">
            <x v="1"/>
          </reference>
        </references>
      </pivotArea>
    </format>
    <format dxfId="889">
      <pivotArea dataOnly="0" labelOnly="1" outline="0" fieldPosition="0">
        <references count="1">
          <reference field="17" count="1">
            <x v="0"/>
          </reference>
        </references>
      </pivotArea>
    </format>
    <format dxfId="888">
      <pivotArea dataOnly="0" labelOnly="1" outline="0" fieldPosition="0">
        <references count="1">
          <reference field="17"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9FC99A32-5674-BF47-B72C-1FB87A69AB00}" name="Tableau croisé dynamique57"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3">
  <location ref="N20:Q26" firstHeaderRow="1" firstDataRow="2" firstDataCol="1"/>
  <pivotFields count="36">
    <pivotField compact="0" outline="0" subtotalTop="0" showAll="0" includeNewItemsInFilter="1"/>
    <pivotField axis="axisCol" compact="0" outline="0" subtotalTop="0" showAll="0" includeNewItemsInFilter="1">
      <items count="4">
        <item m="1" x="2"/>
        <item x="1"/>
        <item x="0"/>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Somme de HEURES FORMATION" fld="18" baseField="0" baseItem="0" numFmtId="167"/>
  </dataFields>
  <formats count="10">
    <format dxfId="937">
      <pivotArea field="1" grandRow="1" outline="0" axis="axisCol" fieldPosition="0">
        <references count="1">
          <reference field="1" count="2" selected="0">
            <x v="1"/>
            <x v="2"/>
          </reference>
        </references>
      </pivotArea>
    </format>
    <format dxfId="936">
      <pivotArea grandRow="1" grandCol="1" outline="0" fieldPosition="0"/>
    </format>
    <format dxfId="935">
      <pivotArea outline="0" fieldPosition="0"/>
    </format>
    <format dxfId="934">
      <pivotArea type="all" dataOnly="0" outline="0" fieldPosition="0"/>
    </format>
    <format dxfId="933">
      <pivotArea type="all" dataOnly="0" outline="0" fieldPosition="0"/>
    </format>
    <format dxfId="932">
      <pivotArea type="all" dataOnly="0" outline="0" fieldPosition="0"/>
    </format>
    <format dxfId="931">
      <pivotArea type="all" dataOnly="0" outline="0" fieldPosition="0"/>
    </format>
    <format dxfId="930">
      <pivotArea type="all" dataOnly="0" outline="0" fieldPosition="0"/>
    </format>
    <format dxfId="929">
      <pivotArea type="all" dataOnly="0" outline="0" fieldPosition="0"/>
    </format>
    <format dxfId="928">
      <pivotArea outline="0" fieldPosition="0">
        <references count="1">
          <reference field="4294967294" count="1">
            <x v="0"/>
          </reference>
        </references>
      </pivotArea>
    </format>
  </formats>
  <chartFormats count="4">
    <chartFormat chart="1" format="2" series="1">
      <pivotArea type="data" outline="0" fieldPosition="0">
        <references count="2">
          <reference field="4294967294" count="1" selected="0">
            <x v="0"/>
          </reference>
          <reference field="1" count="1" selected="0">
            <x v="2"/>
          </reference>
        </references>
      </pivotArea>
    </chartFormat>
    <chartFormat chart="1" format="3" series="1">
      <pivotArea type="data" outline="0" fieldPosition="0">
        <references count="2">
          <reference field="4294967294" count="1" selected="0">
            <x v="0"/>
          </reference>
          <reference field="1" count="1" selected="0">
            <x v="1"/>
          </reference>
        </references>
      </pivotArea>
    </chartFormat>
    <chartFormat chart="2" format="16" series="1">
      <pivotArea type="data" outline="0" fieldPosition="0">
        <references count="2">
          <reference field="4294967294" count="1" selected="0">
            <x v="0"/>
          </reference>
          <reference field="1" count="1" selected="0">
            <x v="1"/>
          </reference>
        </references>
      </pivotArea>
    </chartFormat>
    <chartFormat chart="2"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D62F97CA-AA07-DA44-8921-D8E3EC842E2D}" name="Tableau croisé dynamique56"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2">
  <location ref="D19:G25" firstHeaderRow="1" firstDataRow="2" firstDataCol="1"/>
  <pivotFields count="36">
    <pivotField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1">
    <field x="1"/>
  </colFields>
  <colItems count="3">
    <i>
      <x v="1"/>
    </i>
    <i>
      <x v="2"/>
    </i>
    <i t="grand">
      <x/>
    </i>
  </colItems>
  <dataFields count="1">
    <dataField name="Moyenne de HEURES FORMATION" fld="18" subtotal="average" baseField="0" baseItem="0" numFmtId="167"/>
  </dataFields>
  <formats count="10">
    <format dxfId="947">
      <pivotArea field="1" grandRow="1" outline="0" axis="axisCol" fieldPosition="0">
        <references count="1">
          <reference field="1" count="2" selected="0">
            <x v="1"/>
            <x v="2"/>
          </reference>
        </references>
      </pivotArea>
    </format>
    <format dxfId="946">
      <pivotArea grandRow="1" grandCol="1" outline="0" fieldPosition="0"/>
    </format>
    <format dxfId="945">
      <pivotArea outline="0" fieldPosition="0"/>
    </format>
    <format dxfId="944">
      <pivotArea type="all" dataOnly="0" outline="0" fieldPosition="0"/>
    </format>
    <format dxfId="943">
      <pivotArea type="all" dataOnly="0" outline="0" fieldPosition="0"/>
    </format>
    <format dxfId="942">
      <pivotArea type="all" dataOnly="0" outline="0" fieldPosition="0"/>
    </format>
    <format dxfId="941">
      <pivotArea type="all" dataOnly="0" outline="0" fieldPosition="0"/>
    </format>
    <format dxfId="940">
      <pivotArea type="all" dataOnly="0" outline="0" fieldPosition="0"/>
    </format>
    <format dxfId="939">
      <pivotArea type="all" dataOnly="0" outline="0" fieldPosition="0"/>
    </format>
    <format dxfId="938">
      <pivotArea outline="0" fieldPosition="0">
        <references count="1">
          <reference field="4294967294" count="1">
            <x v="0"/>
          </reference>
        </references>
      </pivotArea>
    </format>
  </formats>
  <chartFormats count="2">
    <chartFormat chart="1" format="16" series="1">
      <pivotArea type="data" outline="0" fieldPosition="0">
        <references count="2">
          <reference field="4294967294" count="1" selected="0">
            <x v="0"/>
          </reference>
          <reference field="1" count="1" selected="0">
            <x v="1"/>
          </reference>
        </references>
      </pivotArea>
    </chartFormat>
    <chartFormat chart="1"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72A490D2-806A-9542-A10A-E1A0590650DE}" name="Tableau croisé dynamique6"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65:G69"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axis="axisRow" compact="0" outline="0" subtotalTop="0" showAll="0" includeNewItemsInFilter="1">
      <items count="3">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7"/>
  </rowFields>
  <rowItems count="3">
    <i>
      <x/>
    </i>
    <i>
      <x v="1"/>
    </i>
    <i t="grand">
      <x/>
    </i>
  </rowItems>
  <colFields count="1">
    <field x="1"/>
  </colFields>
  <colItems count="3">
    <i>
      <x v="1"/>
    </i>
    <i>
      <x v="2"/>
    </i>
    <i t="grand">
      <x/>
    </i>
  </colItems>
  <dataFields count="1">
    <dataField name="NB sur NOM" fld="0" subtotal="count" baseField="0" baseItem="0"/>
  </dataFields>
  <formats count="11">
    <format dxfId="958">
      <pivotArea field="1" grandRow="1" outline="0" axis="axisCol" fieldPosition="0">
        <references count="1">
          <reference field="1" count="2" selected="0">
            <x v="1"/>
            <x v="2"/>
          </reference>
        </references>
      </pivotArea>
    </format>
    <format dxfId="957">
      <pivotArea grandRow="1" grandCol="1" outline="0" fieldPosition="0"/>
    </format>
    <format dxfId="956">
      <pivotArea outline="0" fieldPosition="0"/>
    </format>
    <format dxfId="955">
      <pivotArea type="all" dataOnly="0" outline="0" fieldPosition="0"/>
    </format>
    <format dxfId="954">
      <pivotArea type="all" dataOnly="0" outline="0" fieldPosition="0"/>
    </format>
    <format dxfId="953">
      <pivotArea type="all" dataOnly="0" outline="0" fieldPosition="0"/>
    </format>
    <format dxfId="952">
      <pivotArea type="all" dataOnly="0" outline="0" fieldPosition="0"/>
    </format>
    <format dxfId="951">
      <pivotArea type="all" dataOnly="0" outline="0" fieldPosition="0"/>
    </format>
    <format dxfId="950">
      <pivotArea type="all" dataOnly="0" outline="0" fieldPosition="0"/>
    </format>
    <format dxfId="949">
      <pivotArea dataOnly="0" labelOnly="1" outline="0" fieldPosition="0">
        <references count="1">
          <reference field="17" count="0"/>
        </references>
      </pivotArea>
    </format>
    <format dxfId="948">
      <pivotArea dataOnly="0" labelOnly="1" outline="0" fieldPosition="0">
        <references count="1">
          <reference field="17" count="0"/>
        </references>
      </pivotArea>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9C249366-BDC2-684E-9012-DA5096426E2F}" name="Tableau croisé dynamique39"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3">
  <location ref="D205:G212"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axis="axisRow" compact="0" outline="0" subtotalTop="0" showAll="0" includeNewItemsInFilter="1" sortType="ascending" defaultSubtotal="0">
      <items count="5">
        <item x="3"/>
        <item x="1"/>
        <item x="4"/>
        <item x="0"/>
        <item x="2"/>
      </items>
    </pivotField>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31"/>
  </rowFields>
  <rowItems count="6">
    <i>
      <x/>
    </i>
    <i>
      <x v="1"/>
    </i>
    <i>
      <x v="2"/>
    </i>
    <i>
      <x v="3"/>
    </i>
    <i>
      <x v="4"/>
    </i>
    <i t="grand">
      <x/>
    </i>
  </rowItems>
  <colFields count="1">
    <field x="1"/>
  </colFields>
  <colItems count="3">
    <i>
      <x v="1"/>
    </i>
    <i>
      <x v="2"/>
    </i>
    <i t="grand">
      <x/>
    </i>
  </colItems>
  <dataFields count="1">
    <dataField name="NB sur NOM" fld="0" subtotal="count" baseField="0" baseItem="0"/>
  </dataFields>
  <formats count="9">
    <format dxfId="967">
      <pivotArea field="1" grandRow="1" outline="0" axis="axisCol" fieldPosition="0">
        <references count="1">
          <reference field="1" count="2" selected="0">
            <x v="1"/>
            <x v="2"/>
          </reference>
        </references>
      </pivotArea>
    </format>
    <format dxfId="966">
      <pivotArea grandRow="1" grandCol="1" outline="0" fieldPosition="0"/>
    </format>
    <format dxfId="965">
      <pivotArea outline="0" fieldPosition="0"/>
    </format>
    <format dxfId="964">
      <pivotArea type="all" dataOnly="0" outline="0" fieldPosition="0"/>
    </format>
    <format dxfId="963">
      <pivotArea type="all" dataOnly="0" outline="0" fieldPosition="0"/>
    </format>
    <format dxfId="962">
      <pivotArea type="all" dataOnly="0" outline="0" fieldPosition="0"/>
    </format>
    <format dxfId="961">
      <pivotArea type="all" dataOnly="0" outline="0" fieldPosition="0"/>
    </format>
    <format dxfId="960">
      <pivotArea type="all" dataOnly="0" outline="0" fieldPosition="0"/>
    </format>
    <format dxfId="959">
      <pivotArea type="all" dataOnly="0" outline="0" fieldPosition="0"/>
    </format>
  </formats>
  <chartFormats count="2">
    <chartFormat chart="2" format="14" series="1">
      <pivotArea type="data" outline="0" fieldPosition="0">
        <references count="2">
          <reference field="4294967294" count="1" selected="0">
            <x v="0"/>
          </reference>
          <reference field="1" count="1" selected="0">
            <x v="1"/>
          </reference>
        </references>
      </pivotArea>
    </chartFormat>
    <chartFormat chart="2" format="15"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12E0C3C1-3F96-8142-8927-192A8C3A2226}" name="Tableau croisé dynamique7"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L26:O30"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axis="axisRow" compact="0" outline="0" subtotalTop="0" showAll="0" includeNewItemsInFilter="1" sortType="ascending">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3"/>
  </rowFields>
  <rowItems count="3">
    <i>
      <x/>
    </i>
    <i>
      <x v="1"/>
    </i>
    <i t="grand">
      <x/>
    </i>
  </rowItems>
  <colFields count="1">
    <field x="1"/>
  </colFields>
  <colItems count="3">
    <i>
      <x v="1"/>
    </i>
    <i>
      <x v="2"/>
    </i>
    <i t="grand">
      <x/>
    </i>
  </colItems>
  <dataFields count="1">
    <dataField name="NB sur NOM" fld="0" subtotal="count" showDataAs="percentOfRow" baseField="0" baseItem="0" numFmtId="9"/>
  </dataFields>
  <formats count="26">
    <format dxfId="86">
      <pivotArea field="1" grandRow="1" outline="0" axis="axisCol" fieldPosition="0">
        <references count="1">
          <reference field="1" count="2" selected="0">
            <x v="1"/>
            <x v="2"/>
          </reference>
        </references>
      </pivotArea>
    </format>
    <format dxfId="85">
      <pivotArea field="1" grandRow="1" outline="0" axis="axisCol" fieldPosition="0">
        <references count="1">
          <reference field="1" count="2" selected="0">
            <x v="1"/>
            <x v="2"/>
          </reference>
        </references>
      </pivotArea>
    </format>
    <format dxfId="84">
      <pivotArea field="1" grandRow="1" outline="0" axis="axisCol" fieldPosition="0">
        <references count="1">
          <reference field="1" count="2" selected="0">
            <x v="1"/>
            <x v="2"/>
          </reference>
        </references>
      </pivotArea>
    </format>
    <format dxfId="83">
      <pivotArea field="1" grandRow="1" outline="0" axis="axisCol" fieldPosition="0">
        <references count="1">
          <reference field="1" count="2" selected="0">
            <x v="1"/>
            <x v="2"/>
          </reference>
        </references>
      </pivotArea>
    </format>
    <format dxfId="82">
      <pivotArea outline="0" fieldPosition="0">
        <references count="1">
          <reference field="1" count="2" selected="0">
            <x v="1"/>
            <x v="2"/>
          </reference>
        </references>
      </pivotArea>
    </format>
    <format dxfId="81">
      <pivotArea type="all" dataOnly="0" outline="0" fieldPosition="0"/>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1" type="button" dataOnly="0" labelOnly="1" outline="0" axis="axisCol" fieldPosition="0"/>
    </format>
    <format dxfId="76">
      <pivotArea type="topRight" dataOnly="0" labelOnly="1" outline="0" fieldPosition="0"/>
    </format>
    <format dxfId="75">
      <pivotArea field="13" type="button" dataOnly="0" labelOnly="1" outline="0" axis="axisRow" fieldPosition="0"/>
    </format>
    <format dxfId="74">
      <pivotArea dataOnly="0" labelOnly="1" outline="0" fieldPosition="0">
        <references count="1">
          <reference field="13" count="0"/>
        </references>
      </pivotArea>
    </format>
    <format dxfId="73">
      <pivotArea dataOnly="0" labelOnly="1" grandRow="1" outline="0" fieldPosition="0"/>
    </format>
    <format dxfId="72">
      <pivotArea dataOnly="0" labelOnly="1" outline="0" fieldPosition="0">
        <references count="1">
          <reference field="1" count="0"/>
        </references>
      </pivotArea>
    </format>
    <format dxfId="71">
      <pivotArea dataOnly="0" labelOnly="1" grandCol="1" outline="0" fieldPosition="0"/>
    </format>
    <format dxfId="70">
      <pivotArea type="all" dataOnly="0" outline="0" fieldPosition="0"/>
    </format>
    <format dxfId="69">
      <pivotArea outline="0" collapsedLevelsAreSubtotals="1" fieldPosition="0"/>
    </format>
    <format dxfId="68">
      <pivotArea type="origin" dataOnly="0" labelOnly="1" outline="0" fieldPosition="0"/>
    </format>
    <format dxfId="67">
      <pivotArea field="1" type="button" dataOnly="0" labelOnly="1" outline="0" axis="axisCol" fieldPosition="0"/>
    </format>
    <format dxfId="66">
      <pivotArea type="topRight" dataOnly="0" labelOnly="1" outline="0" fieldPosition="0"/>
    </format>
    <format dxfId="65">
      <pivotArea field="13" type="button" dataOnly="0" labelOnly="1" outline="0" axis="axisRow" fieldPosition="0"/>
    </format>
    <format dxfId="64">
      <pivotArea dataOnly="0" labelOnly="1" outline="0" fieldPosition="0">
        <references count="1">
          <reference field="13" count="0"/>
        </references>
      </pivotArea>
    </format>
    <format dxfId="63">
      <pivotArea dataOnly="0" labelOnly="1" grandRow="1" outline="0" fieldPosition="0"/>
    </format>
    <format dxfId="62">
      <pivotArea dataOnly="0" labelOnly="1" outline="0" fieldPosition="0">
        <references count="1">
          <reference field="1" count="0"/>
        </references>
      </pivotArea>
    </format>
    <format dxfId="61">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7F4C1AA6-D072-5549-988D-70F080446730}" name="Tableau croisé dynamique46"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S109:V113"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axis="axisCol" compact="0" outline="0" subtotalTop="0" showAll="0" includeNewItemsInFilter="1" defaultSubtotal="0">
      <items count="2">
        <item x="1"/>
        <item x="0"/>
      </items>
    </pivotField>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24"/>
  </colFields>
  <colItems count="3">
    <i>
      <x/>
    </i>
    <i>
      <x v="1"/>
    </i>
    <i t="grand">
      <x/>
    </i>
  </colItems>
  <dataFields count="1">
    <dataField name="NB sur NOM" fld="0" subtotal="count" showDataAs="percentOfRow" baseField="0" baseItem="0" numFmtId="9"/>
  </dataFields>
  <formats count="21">
    <format dxfId="107">
      <pivotArea type="all" dataOnly="0" outline="0" fieldPosition="0"/>
    </format>
    <format dxfId="106">
      <pivotArea type="all" dataOnly="0" outline="0" fieldPosition="0"/>
    </format>
    <format dxfId="105">
      <pivotArea outline="0" collapsedLevelsAreSubtotals="1" fieldPosition="0"/>
    </format>
    <format dxfId="104">
      <pivotArea type="origin" dataOnly="0" labelOnly="1" outline="0" fieldPosition="0"/>
    </format>
    <format dxfId="103">
      <pivotArea field="24" type="button" dataOnly="0" labelOnly="1" outline="0" axis="axisCol" fieldPosition="0"/>
    </format>
    <format dxfId="102">
      <pivotArea type="topRight" dataOnly="0" labelOnly="1" outline="0" fieldPosition="0"/>
    </format>
    <format dxfId="101">
      <pivotArea field="1" type="button" dataOnly="0" labelOnly="1" outline="0" axis="axisRow" fieldPosition="0"/>
    </format>
    <format dxfId="100">
      <pivotArea dataOnly="0" labelOnly="1" outline="0" fieldPosition="0">
        <references count="1">
          <reference field="1" count="0"/>
        </references>
      </pivotArea>
    </format>
    <format dxfId="99">
      <pivotArea dataOnly="0" labelOnly="1" grandRow="1" outline="0" fieldPosition="0"/>
    </format>
    <format dxfId="98">
      <pivotArea dataOnly="0" labelOnly="1" outline="0" fieldPosition="0">
        <references count="1">
          <reference field="24" count="0"/>
        </references>
      </pivotArea>
    </format>
    <format dxfId="97">
      <pivotArea dataOnly="0" labelOnly="1" grandCol="1" outline="0" fieldPosition="0"/>
    </format>
    <format dxfId="96">
      <pivotArea type="all" dataOnly="0" outline="0" fieldPosition="0"/>
    </format>
    <format dxfId="95">
      <pivotArea outline="0" collapsedLevelsAreSubtotals="1" fieldPosition="0"/>
    </format>
    <format dxfId="94">
      <pivotArea type="origin" dataOnly="0" labelOnly="1" outline="0" fieldPosition="0"/>
    </format>
    <format dxfId="93">
      <pivotArea field="24" type="button" dataOnly="0" labelOnly="1" outline="0" axis="axisCol" fieldPosition="0"/>
    </format>
    <format dxfId="92">
      <pivotArea type="topRight" dataOnly="0" labelOnly="1" outline="0" fieldPosition="0"/>
    </format>
    <format dxfId="91">
      <pivotArea field="1" type="button" dataOnly="0" labelOnly="1" outline="0" axis="axisRow" fieldPosition="0"/>
    </format>
    <format dxfId="90">
      <pivotArea dataOnly="0" labelOnly="1" outline="0" fieldPosition="0">
        <references count="1">
          <reference field="1" count="0"/>
        </references>
      </pivotArea>
    </format>
    <format dxfId="89">
      <pivotArea dataOnly="0" labelOnly="1" grandRow="1" outline="0" fieldPosition="0"/>
    </format>
    <format dxfId="88">
      <pivotArea dataOnly="0" labelOnly="1" outline="0" fieldPosition="0">
        <references count="1">
          <reference field="24" count="0"/>
        </references>
      </pivotArea>
    </format>
    <format dxfId="87">
      <pivotArea dataOnly="0" labelOnly="1" grandCol="1" outline="0" fieldPosition="0"/>
    </format>
  </formats>
  <chartFormats count="2">
    <chartFormat chart="0" format="10" series="1">
      <pivotArea type="data" outline="0" fieldPosition="0">
        <references count="2">
          <reference field="4294967294" count="1" selected="0">
            <x v="0"/>
          </reference>
          <reference field="24" count="1" selected="0">
            <x v="0"/>
          </reference>
        </references>
      </pivotArea>
    </chartFormat>
    <chartFormat chart="0" format="11" series="1">
      <pivotArea type="data" outline="0" fieldPosition="0">
        <references count="2">
          <reference field="4294967294" count="1" selected="0">
            <x v="0"/>
          </reference>
          <reference field="24"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B86D2412-63BB-D043-ACB0-CA9D2BB5BB2E}" name="Tableau croisé dynamique51"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S152:V156"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axis="axisCol" compact="0" outline="0" subtotalTop="0" showAll="0" includeNewItemsInFilter="1" defaultSubtotal="0">
      <items count="2">
        <item x="0"/>
        <item x="1"/>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23"/>
  </colFields>
  <colItems count="3">
    <i>
      <x/>
    </i>
    <i>
      <x v="1"/>
    </i>
    <i t="grand">
      <x/>
    </i>
  </colItems>
  <dataFields count="1">
    <dataField name="NB sur NOM" fld="0" subtotal="count" showDataAs="percentOfRow" baseField="0" baseItem="0" numFmtId="9"/>
  </dataFields>
  <formats count="21">
    <format dxfId="128">
      <pivotArea type="all" dataOnly="0" outline="0" fieldPosition="0"/>
    </format>
    <format dxfId="127">
      <pivotArea type="all" dataOnly="0" outline="0" fieldPosition="0"/>
    </format>
    <format dxfId="126">
      <pivotArea outline="0" collapsedLevelsAreSubtotals="1" fieldPosition="0"/>
    </format>
    <format dxfId="125">
      <pivotArea type="origin" dataOnly="0" labelOnly="1" outline="0" fieldPosition="0"/>
    </format>
    <format dxfId="124">
      <pivotArea field="23" type="button" dataOnly="0" labelOnly="1" outline="0" axis="axisCol" fieldPosition="0"/>
    </format>
    <format dxfId="123">
      <pivotArea type="topRight" dataOnly="0" labelOnly="1" outline="0" fieldPosition="0"/>
    </format>
    <format dxfId="122">
      <pivotArea field="1" type="button" dataOnly="0" labelOnly="1" outline="0" axis="axisRow" fieldPosition="0"/>
    </format>
    <format dxfId="121">
      <pivotArea dataOnly="0" labelOnly="1" outline="0" fieldPosition="0">
        <references count="1">
          <reference field="1" count="0"/>
        </references>
      </pivotArea>
    </format>
    <format dxfId="120">
      <pivotArea dataOnly="0" labelOnly="1" grandRow="1" outline="0" fieldPosition="0"/>
    </format>
    <format dxfId="119">
      <pivotArea dataOnly="0" labelOnly="1" outline="0" fieldPosition="0">
        <references count="1">
          <reference field="23" count="0"/>
        </references>
      </pivotArea>
    </format>
    <format dxfId="118">
      <pivotArea dataOnly="0" labelOnly="1" grandCol="1" outline="0" fieldPosition="0"/>
    </format>
    <format dxfId="117">
      <pivotArea type="all" dataOnly="0" outline="0" fieldPosition="0"/>
    </format>
    <format dxfId="116">
      <pivotArea outline="0" collapsedLevelsAreSubtotals="1" fieldPosition="0"/>
    </format>
    <format dxfId="115">
      <pivotArea type="origin" dataOnly="0" labelOnly="1" outline="0" fieldPosition="0"/>
    </format>
    <format dxfId="114">
      <pivotArea field="23" type="button" dataOnly="0" labelOnly="1" outline="0" axis="axisCol" fieldPosition="0"/>
    </format>
    <format dxfId="113">
      <pivotArea type="topRight" dataOnly="0" labelOnly="1" outline="0" fieldPosition="0"/>
    </format>
    <format dxfId="112">
      <pivotArea field="1" type="button" dataOnly="0" labelOnly="1" outline="0" axis="axisRow" fieldPosition="0"/>
    </format>
    <format dxfId="111">
      <pivotArea dataOnly="0" labelOnly="1" outline="0" fieldPosition="0">
        <references count="1">
          <reference field="1" count="0"/>
        </references>
      </pivotArea>
    </format>
    <format dxfId="110">
      <pivotArea dataOnly="0" labelOnly="1" grandRow="1" outline="0" fieldPosition="0"/>
    </format>
    <format dxfId="109">
      <pivotArea dataOnly="0" labelOnly="1" outline="0" fieldPosition="0">
        <references count="1">
          <reference field="23" count="0"/>
        </references>
      </pivotArea>
    </format>
    <format dxfId="108">
      <pivotArea dataOnly="0" labelOnly="1" grandCol="1" outline="0" fieldPosition="0"/>
    </format>
  </formats>
  <chartFormats count="2">
    <chartFormat chart="0" format="10" series="1">
      <pivotArea type="data" outline="0" fieldPosition="0">
        <references count="2">
          <reference field="4294967294" count="1" selected="0">
            <x v="0"/>
          </reference>
          <reference field="23" count="1" selected="0">
            <x v="0"/>
          </reference>
        </references>
      </pivotArea>
    </chartFormat>
    <chartFormat chart="0" format="11" series="1">
      <pivotArea type="data" outline="0" fieldPosition="0">
        <references count="2">
          <reference field="4294967294" count="1" selected="0">
            <x v="0"/>
          </reference>
          <reference field="23"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1DB34E92-2C26-AE4D-B8EE-D70C26462022}" name="Tableau croisé dynamique50"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D184:J191" firstHeaderRow="1" firstDataRow="3" firstDataCol="1"/>
  <pivotFields count="36">
    <pivotField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2">
    <field x="1"/>
    <field x="-2"/>
  </colFields>
  <colItems count="6">
    <i>
      <x/>
      <x/>
    </i>
    <i r="1" i="1">
      <x v="1"/>
    </i>
    <i>
      <x v="1"/>
      <x/>
    </i>
    <i r="1" i="1">
      <x v="1"/>
    </i>
    <i t="grand">
      <x/>
    </i>
    <i t="grand" i="1">
      <x/>
    </i>
  </colItems>
  <dataFields count="2">
    <dataField name="Nb mal prof " fld="23" subtotal="count" baseField="0" baseItem="0"/>
    <dataField name="Nb mal prof" fld="23" subtotal="count" showDataAs="percentOfRow" baseField="0" baseItem="0" numFmtId="10"/>
  </dataFields>
  <formats count="56">
    <format dxfId="184">
      <pivotArea field="1" grandRow="1" outline="0" axis="axisCol" fieldPosition="0">
        <references count="1">
          <reference field="1" count="2" selected="0">
            <x v="0"/>
            <x v="1"/>
          </reference>
        </references>
      </pivotArea>
    </format>
    <format dxfId="183">
      <pivotArea field="5" grandCol="1" outline="0" axis="axisRow" fieldPosition="0">
        <references count="1">
          <reference field="5" count="0" selected="0"/>
        </references>
      </pivotArea>
    </format>
    <format dxfId="182">
      <pivotArea grandRow="1" grandCol="1" outline="0" fieldPosition="0"/>
    </format>
    <format dxfId="181">
      <pivotArea outline="0" fieldPosition="0">
        <references count="2">
          <reference field="1" count="2" selected="0">
            <x v="0"/>
            <x v="1"/>
          </reference>
          <reference field="5" count="0" selected="0"/>
        </references>
      </pivotArea>
    </format>
    <format dxfId="180">
      <pivotArea outline="0" fieldPosition="0"/>
    </format>
    <format dxfId="179">
      <pivotArea type="all" dataOnly="0" outline="0" fieldPosition="0"/>
    </format>
    <format dxfId="178">
      <pivotArea type="all" dataOnly="0" outline="0" fieldPosition="0"/>
    </format>
    <format dxfId="177">
      <pivotArea outline="0" fieldPosition="0">
        <references count="2">
          <reference field="1" count="1" selected="0">
            <x v="1"/>
          </reference>
          <reference field="5" count="1" selected="0">
            <x v="5"/>
          </reference>
        </references>
      </pivotArea>
    </format>
    <format dxfId="176">
      <pivotArea type="all" dataOnly="0" outline="0" fieldPosition="0"/>
    </format>
    <format dxfId="175">
      <pivotArea type="all" dataOnly="0" outline="0" fieldPosition="0"/>
    </format>
    <format dxfId="174">
      <pivotArea type="all" dataOnly="0" outline="0" fieldPosition="0"/>
    </format>
    <format dxfId="173">
      <pivotArea type="all" dataOnly="0" outline="0" fieldPosition="0"/>
    </format>
    <format dxfId="172">
      <pivotArea outline="0" fieldPosition="0">
        <references count="1">
          <reference field="4294967294" count="1">
            <x v="1"/>
          </reference>
        </references>
      </pivotArea>
    </format>
    <format dxfId="171">
      <pivotArea type="all" dataOnly="0" outline="0" fieldPosition="0"/>
    </format>
    <format dxfId="170">
      <pivotArea outline="0" fieldPosition="0"/>
    </format>
    <format dxfId="169">
      <pivotArea type="origin" dataOnly="0" labelOnly="1" outline="0" fieldPosition="0"/>
    </format>
    <format dxfId="168">
      <pivotArea field="1" type="button" dataOnly="0" labelOnly="1" outline="0" axis="axisCol" fieldPosition="0"/>
    </format>
    <format dxfId="167">
      <pivotArea field="-2" type="button" dataOnly="0" labelOnly="1" outline="0" axis="axisCol" fieldPosition="1"/>
    </format>
    <format dxfId="166">
      <pivotArea type="topRight" dataOnly="0" labelOnly="1" outline="0" fieldPosition="0"/>
    </format>
    <format dxfId="165">
      <pivotArea field="5" type="button" dataOnly="0" labelOnly="1" outline="0" axis="axisRow" fieldPosition="0"/>
    </format>
    <format dxfId="164">
      <pivotArea dataOnly="0" labelOnly="1" outline="0" fieldPosition="0">
        <references count="1">
          <reference field="5" count="0"/>
        </references>
      </pivotArea>
    </format>
    <format dxfId="163">
      <pivotArea dataOnly="0" labelOnly="1" grandRow="1" outline="0" fieldPosition="0"/>
    </format>
    <format dxfId="162">
      <pivotArea dataOnly="0" labelOnly="1" outline="0" fieldPosition="0">
        <references count="1">
          <reference field="1" count="0"/>
        </references>
      </pivotArea>
    </format>
    <format dxfId="161">
      <pivotArea field="1" dataOnly="0" labelOnly="1" grandCol="1" outline="0" axis="axisCol" fieldPosition="0">
        <references count="1">
          <reference field="4294967294" count="1" selected="0">
            <x v="0"/>
          </reference>
        </references>
      </pivotArea>
    </format>
    <format dxfId="160">
      <pivotArea field="1" dataOnly="0" labelOnly="1" grandCol="1" outline="0" axis="axisCol" fieldPosition="0">
        <references count="1">
          <reference field="4294967294" count="1" selected="0">
            <x v="1"/>
          </reference>
        </references>
      </pivotArea>
    </format>
    <format dxfId="159">
      <pivotArea dataOnly="0" labelOnly="1" outline="0" fieldPosition="0">
        <references count="2">
          <reference field="4294967294" count="2">
            <x v="0"/>
            <x v="1"/>
          </reference>
          <reference field="1" count="1" selected="0">
            <x v="0"/>
          </reference>
        </references>
      </pivotArea>
    </format>
    <format dxfId="158">
      <pivotArea dataOnly="0" labelOnly="1" outline="0" fieldPosition="0">
        <references count="2">
          <reference field="4294967294" count="2">
            <x v="0"/>
            <x v="1"/>
          </reference>
          <reference field="1" count="1" selected="0">
            <x v="1"/>
          </reference>
        </references>
      </pivotArea>
    </format>
    <format dxfId="157">
      <pivotArea type="all" dataOnly="0" outline="0" fieldPosition="0"/>
    </format>
    <format dxfId="156">
      <pivotArea outline="0" collapsedLevelsAreSubtotals="1" fieldPosition="0"/>
    </format>
    <format dxfId="155">
      <pivotArea type="origin" dataOnly="0" labelOnly="1" outline="0" fieldPosition="0"/>
    </format>
    <format dxfId="154">
      <pivotArea field="1" type="button" dataOnly="0" labelOnly="1" outline="0" axis="axisCol" fieldPosition="0"/>
    </format>
    <format dxfId="153">
      <pivotArea field="-2" type="button" dataOnly="0" labelOnly="1" outline="0" axis="axisCol" fieldPosition="1"/>
    </format>
    <format dxfId="152">
      <pivotArea type="topRight" dataOnly="0" labelOnly="1" outline="0" fieldPosition="0"/>
    </format>
    <format dxfId="151">
      <pivotArea field="5" type="button" dataOnly="0" labelOnly="1" outline="0" axis="axisRow" fieldPosition="0"/>
    </format>
    <format dxfId="150">
      <pivotArea dataOnly="0" labelOnly="1" outline="0" fieldPosition="0">
        <references count="1">
          <reference field="5" count="0"/>
        </references>
      </pivotArea>
    </format>
    <format dxfId="149">
      <pivotArea dataOnly="0" labelOnly="1" grandRow="1" outline="0" fieldPosition="0"/>
    </format>
    <format dxfId="148">
      <pivotArea dataOnly="0" labelOnly="1" outline="0" fieldPosition="0">
        <references count="1">
          <reference field="1" count="0"/>
        </references>
      </pivotArea>
    </format>
    <format dxfId="147">
      <pivotArea field="1" dataOnly="0" labelOnly="1" grandCol="1" outline="0" axis="axisCol" fieldPosition="0">
        <references count="1">
          <reference field="4294967294" count="1" selected="0">
            <x v="0"/>
          </reference>
        </references>
      </pivotArea>
    </format>
    <format dxfId="146">
      <pivotArea field="1" dataOnly="0" labelOnly="1" grandCol="1" outline="0" axis="axisCol" fieldPosition="0">
        <references count="1">
          <reference field="4294967294" count="1" selected="0">
            <x v="1"/>
          </reference>
        </references>
      </pivotArea>
    </format>
    <format dxfId="145">
      <pivotArea dataOnly="0" labelOnly="1" outline="0" fieldPosition="0">
        <references count="2">
          <reference field="4294967294" count="2">
            <x v="0"/>
            <x v="1"/>
          </reference>
          <reference field="1" count="1" selected="0">
            <x v="0"/>
          </reference>
        </references>
      </pivotArea>
    </format>
    <format dxfId="144">
      <pivotArea dataOnly="0" labelOnly="1" outline="0" fieldPosition="0">
        <references count="2">
          <reference field="4294967294" count="2">
            <x v="0"/>
            <x v="1"/>
          </reference>
          <reference field="1" count="1" selected="0">
            <x v="1"/>
          </reference>
        </references>
      </pivotArea>
    </format>
    <format dxfId="143">
      <pivotArea type="all" dataOnly="0" outline="0" fieldPosition="0"/>
    </format>
    <format dxfId="142">
      <pivotArea outline="0" collapsedLevelsAreSubtotals="1" fieldPosition="0"/>
    </format>
    <format dxfId="141">
      <pivotArea type="origin" dataOnly="0" labelOnly="1" outline="0" fieldPosition="0"/>
    </format>
    <format dxfId="140">
      <pivotArea field="1" type="button" dataOnly="0" labelOnly="1" outline="0" axis="axisCol" fieldPosition="0"/>
    </format>
    <format dxfId="139">
      <pivotArea field="-2" type="button" dataOnly="0" labelOnly="1" outline="0" axis="axisCol" fieldPosition="1"/>
    </format>
    <format dxfId="138">
      <pivotArea type="topRight" dataOnly="0" labelOnly="1" outline="0" fieldPosition="0"/>
    </format>
    <format dxfId="137">
      <pivotArea field="5" type="button" dataOnly="0" labelOnly="1" outline="0" axis="axisRow" fieldPosition="0"/>
    </format>
    <format dxfId="136">
      <pivotArea dataOnly="0" labelOnly="1" outline="0" fieldPosition="0">
        <references count="1">
          <reference field="5" count="0"/>
        </references>
      </pivotArea>
    </format>
    <format dxfId="135">
      <pivotArea dataOnly="0" labelOnly="1" grandRow="1" outline="0" fieldPosition="0"/>
    </format>
    <format dxfId="134">
      <pivotArea dataOnly="0" labelOnly="1" outline="0" fieldPosition="0">
        <references count="1">
          <reference field="1" count="0"/>
        </references>
      </pivotArea>
    </format>
    <format dxfId="133">
      <pivotArea field="1" dataOnly="0" labelOnly="1" grandCol="1" outline="0" axis="axisCol" fieldPosition="0">
        <references count="1">
          <reference field="4294967294" count="1" selected="0">
            <x v="0"/>
          </reference>
        </references>
      </pivotArea>
    </format>
    <format dxfId="132">
      <pivotArea field="1" dataOnly="0" labelOnly="1" grandCol="1" outline="0" axis="axisCol" fieldPosition="0">
        <references count="1">
          <reference field="4294967294" count="1" selected="0">
            <x v="1"/>
          </reference>
        </references>
      </pivotArea>
    </format>
    <format dxfId="131">
      <pivotArea dataOnly="0" labelOnly="1" outline="0" fieldPosition="0">
        <references count="2">
          <reference field="4294967294" count="2">
            <x v="0"/>
            <x v="1"/>
          </reference>
          <reference field="1" count="1" selected="0">
            <x v="0"/>
          </reference>
        </references>
      </pivotArea>
    </format>
    <format dxfId="130">
      <pivotArea dataOnly="0" labelOnly="1" outline="0" fieldPosition="0">
        <references count="2">
          <reference field="4294967294" count="2">
            <x v="0"/>
            <x v="1"/>
          </reference>
          <reference field="1" count="1" selected="0">
            <x v="1"/>
          </reference>
        </references>
      </pivotArea>
    </format>
    <format dxfId="129">
      <pivotArea field="1" grandCol="1" outline="0" axis="axisCol" fieldPosition="0">
        <references count="1">
          <reference field="4294967294"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86FE0C6-D0F9-F643-B3D1-92B5ED1BC8A8}" name="Tableau croisé dynamique9"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U38:U39"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axis="axisRow" showAll="0">
      <items count="4">
        <item x="1"/>
        <item x="0"/>
        <item m="1" x="2"/>
        <item t="default"/>
      </items>
    </pivotField>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13"/>
  </rowFields>
  <rowItems count="2">
    <i>
      <x/>
    </i>
    <i>
      <x v="1"/>
    </i>
  </rowItems>
  <colItems count="1">
    <i/>
  </colItems>
  <formats count="1">
    <format dxfId="1753">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FFFFAA25-23DF-3E49-BA4C-2719FA47D648}" name="Tableau croisé dynamique42"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S65:V69" firstHeaderRow="1" firstDataRow="2" firstDataCol="1"/>
  <pivotFields count="36">
    <pivotField dataField="1" compact="0" outline="0" subtotalTop="0" showAll="0" includeNewItemsInFilter="1"/>
    <pivotField axis="axisRow" compact="0" outline="0" subtotalTop="0" showAll="0" includeNewItemsInFilter="1" sortType="ascending">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axis="axisCol" compact="0" outline="0" subtotalTop="0" showAll="0" includeNewItemsInFilter="1" defaultSubtotal="0">
      <items count="2">
        <item x="1"/>
        <item x="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15"/>
  </colFields>
  <colItems count="3">
    <i>
      <x/>
    </i>
    <i>
      <x v="1"/>
    </i>
    <i t="grand">
      <x/>
    </i>
  </colItems>
  <dataFields count="1">
    <dataField name="NB sur NOM" fld="0" subtotal="count" showDataAs="percentOfRow" baseField="0" baseItem="0" numFmtId="9"/>
  </dataFields>
  <formats count="21">
    <format dxfId="205">
      <pivotArea type="all" dataOnly="0" outline="0" fieldPosition="0"/>
    </format>
    <format dxfId="204">
      <pivotArea type="all" dataOnly="0" outline="0" fieldPosition="0"/>
    </format>
    <format dxfId="203">
      <pivotArea outline="0" collapsedLevelsAreSubtotals="1" fieldPosition="0"/>
    </format>
    <format dxfId="202">
      <pivotArea type="origin" dataOnly="0" labelOnly="1" outline="0" fieldPosition="0"/>
    </format>
    <format dxfId="201">
      <pivotArea field="15" type="button" dataOnly="0" labelOnly="1" outline="0" axis="axisCol" fieldPosition="0"/>
    </format>
    <format dxfId="200">
      <pivotArea type="topRight" dataOnly="0" labelOnly="1" outline="0" fieldPosition="0"/>
    </format>
    <format dxfId="199">
      <pivotArea field="1" type="button" dataOnly="0" labelOnly="1" outline="0" axis="axisRow" fieldPosition="0"/>
    </format>
    <format dxfId="198">
      <pivotArea dataOnly="0" labelOnly="1" outline="0" fieldPosition="0">
        <references count="1">
          <reference field="1" count="0"/>
        </references>
      </pivotArea>
    </format>
    <format dxfId="197">
      <pivotArea dataOnly="0" labelOnly="1" grandRow="1" outline="0" fieldPosition="0"/>
    </format>
    <format dxfId="196">
      <pivotArea dataOnly="0" labelOnly="1" outline="0" fieldPosition="0">
        <references count="1">
          <reference field="15" count="0"/>
        </references>
      </pivotArea>
    </format>
    <format dxfId="195">
      <pivotArea dataOnly="0" labelOnly="1" grandCol="1" outline="0" fieldPosition="0"/>
    </format>
    <format dxfId="194">
      <pivotArea type="all" dataOnly="0" outline="0" fieldPosition="0"/>
    </format>
    <format dxfId="193">
      <pivotArea outline="0" collapsedLevelsAreSubtotals="1" fieldPosition="0"/>
    </format>
    <format dxfId="192">
      <pivotArea type="origin" dataOnly="0" labelOnly="1" outline="0" fieldPosition="0"/>
    </format>
    <format dxfId="191">
      <pivotArea field="15" type="button" dataOnly="0" labelOnly="1" outline="0" axis="axisCol" fieldPosition="0"/>
    </format>
    <format dxfId="190">
      <pivotArea type="topRight" dataOnly="0" labelOnly="1" outline="0" fieldPosition="0"/>
    </format>
    <format dxfId="189">
      <pivotArea field="1" type="button" dataOnly="0" labelOnly="1" outline="0" axis="axisRow" fieldPosition="0"/>
    </format>
    <format dxfId="188">
      <pivotArea dataOnly="0" labelOnly="1" outline="0" fieldPosition="0">
        <references count="1">
          <reference field="1" count="0"/>
        </references>
      </pivotArea>
    </format>
    <format dxfId="187">
      <pivotArea dataOnly="0" labelOnly="1" grandRow="1" outline="0" fieldPosition="0"/>
    </format>
    <format dxfId="186">
      <pivotArea dataOnly="0" labelOnly="1" outline="0" fieldPosition="0">
        <references count="1">
          <reference field="15" count="0"/>
        </references>
      </pivotArea>
    </format>
    <format dxfId="185">
      <pivotArea dataOnly="0" labelOnly="1" grandCol="1" outline="0" fieldPosition="0"/>
    </format>
  </formats>
  <chartFormats count="2">
    <chartFormat chart="0" format="8" series="1">
      <pivotArea type="data" outline="0" fieldPosition="0">
        <references count="2">
          <reference field="4294967294" count="1" selected="0">
            <x v="0"/>
          </reference>
          <reference field="15" count="1" selected="0">
            <x v="0"/>
          </reference>
        </references>
      </pivotArea>
    </chartFormat>
    <chartFormat chart="0" format="9" series="1">
      <pivotArea type="data" outline="0" fieldPosition="0">
        <references count="2">
          <reference field="4294967294" count="1" selected="0">
            <x v="0"/>
          </reference>
          <reference field="15"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CC484864-B2DB-1546-988E-0DDCA1AFF3D1}" name="Tableau croisé dynamique43"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Y66:AI74" firstHeaderRow="1" firstDataRow="4"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axis="axisCol" compact="0" outline="0" subtotalTop="0" showAll="0" includeNewItemsInFilter="1" defaultSubtotal="0">
      <items count="2">
        <item x="1"/>
        <item x="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3">
    <field x="15"/>
    <field x="1"/>
    <field x="-2"/>
  </colFields>
  <colItems count="10">
    <i>
      <x/>
      <x/>
      <x/>
    </i>
    <i r="2" i="1">
      <x v="1"/>
    </i>
    <i r="1">
      <x v="1"/>
      <x/>
    </i>
    <i r="2" i="1">
      <x v="1"/>
    </i>
    <i>
      <x v="1"/>
      <x/>
      <x/>
    </i>
    <i r="2" i="1">
      <x v="1"/>
    </i>
    <i r="1">
      <x v="1"/>
      <x/>
    </i>
    <i r="2" i="1">
      <x v="1"/>
    </i>
    <i t="grand">
      <x/>
    </i>
    <i t="grand" i="1">
      <x/>
    </i>
  </colItems>
  <dataFields count="2">
    <dataField name="NB sur NOM" fld="0" subtotal="count" baseField="0" baseItem="0"/>
    <dataField name="NB sur NOM2" fld="0" subtotal="count" showDataAs="percentOfRow" baseField="0" baseItem="0" numFmtId="10"/>
  </dataFields>
  <formats count="66">
    <format dxfId="271">
      <pivotArea field="1" grandRow="1" outline="0" axis="axisCol" fieldPosition="1">
        <references count="1">
          <reference field="1" count="2" selected="0">
            <x v="0"/>
            <x v="1"/>
          </reference>
        </references>
      </pivotArea>
    </format>
    <format dxfId="270">
      <pivotArea field="5" grandCol="1" outline="0" axis="axisRow" fieldPosition="0">
        <references count="1">
          <reference field="5" count="0" selected="0"/>
        </references>
      </pivotArea>
    </format>
    <format dxfId="269">
      <pivotArea grandRow="1" grandCol="1" outline="0" fieldPosition="0"/>
    </format>
    <format dxfId="268">
      <pivotArea outline="0" fieldPosition="0">
        <references count="2">
          <reference field="1" count="2" selected="0">
            <x v="0"/>
            <x v="1"/>
          </reference>
          <reference field="5" count="0" selected="0"/>
        </references>
      </pivotArea>
    </format>
    <format dxfId="267">
      <pivotArea outline="0" fieldPosition="0"/>
    </format>
    <format dxfId="266">
      <pivotArea type="all" dataOnly="0" outline="0" fieldPosition="0"/>
    </format>
    <format dxfId="265">
      <pivotArea type="all" dataOnly="0" outline="0" fieldPosition="0"/>
    </format>
    <format dxfId="264">
      <pivotArea outline="0" fieldPosition="0">
        <references count="2">
          <reference field="1" count="1" selected="0">
            <x v="1"/>
          </reference>
          <reference field="5" count="1" selected="0">
            <x v="5"/>
          </reference>
        </references>
      </pivotArea>
    </format>
    <format dxfId="263">
      <pivotArea type="all" dataOnly="0" outline="0" fieldPosition="0"/>
    </format>
    <format dxfId="262">
      <pivotArea type="all" dataOnly="0" outline="0" fieldPosition="0"/>
    </format>
    <format dxfId="261">
      <pivotArea type="all" dataOnly="0" outline="0" fieldPosition="0"/>
    </format>
    <format dxfId="260">
      <pivotArea type="all" dataOnly="0" outline="0" fieldPosition="0"/>
    </format>
    <format dxfId="259">
      <pivotArea outline="0" fieldPosition="0">
        <references count="1">
          <reference field="4294967294" count="1">
            <x v="1"/>
          </reference>
        </references>
      </pivotArea>
    </format>
    <format dxfId="258">
      <pivotArea type="all" dataOnly="0" outline="0" fieldPosition="0"/>
    </format>
    <format dxfId="257">
      <pivotArea outline="0" fieldPosition="0"/>
    </format>
    <format dxfId="256">
      <pivotArea type="origin" dataOnly="0" labelOnly="1" outline="0" fieldPosition="0"/>
    </format>
    <format dxfId="255">
      <pivotArea field="15" type="button" dataOnly="0" labelOnly="1" outline="0" axis="axisCol" fieldPosition="0"/>
    </format>
    <format dxfId="254">
      <pivotArea field="1" type="button" dataOnly="0" labelOnly="1" outline="0" axis="axisCol" fieldPosition="1"/>
    </format>
    <format dxfId="253">
      <pivotArea field="-2" type="button" dataOnly="0" labelOnly="1" outline="0" axis="axisCol" fieldPosition="2"/>
    </format>
    <format dxfId="252">
      <pivotArea type="topRight" dataOnly="0" labelOnly="1" outline="0" fieldPosition="0"/>
    </format>
    <format dxfId="251">
      <pivotArea field="5" type="button" dataOnly="0" labelOnly="1" outline="0" axis="axisRow" fieldPosition="0"/>
    </format>
    <format dxfId="250">
      <pivotArea dataOnly="0" labelOnly="1" outline="0" fieldPosition="0">
        <references count="1">
          <reference field="5" count="0"/>
        </references>
      </pivotArea>
    </format>
    <format dxfId="249">
      <pivotArea dataOnly="0" labelOnly="1" grandRow="1" outline="0" fieldPosition="0"/>
    </format>
    <format dxfId="248">
      <pivotArea dataOnly="0" labelOnly="1" outline="0" fieldPosition="0">
        <references count="1">
          <reference field="15" count="0"/>
        </references>
      </pivotArea>
    </format>
    <format dxfId="247">
      <pivotArea field="15" dataOnly="0" labelOnly="1" grandCol="1" outline="0" axis="axisCol" fieldPosition="0">
        <references count="1">
          <reference field="4294967294" count="1" selected="0">
            <x v="0"/>
          </reference>
        </references>
      </pivotArea>
    </format>
    <format dxfId="246">
      <pivotArea field="15" dataOnly="0" labelOnly="1" grandCol="1" outline="0" axis="axisCol" fieldPosition="0">
        <references count="1">
          <reference field="4294967294" count="1" selected="0">
            <x v="1"/>
          </reference>
        </references>
      </pivotArea>
    </format>
    <format dxfId="245">
      <pivotArea dataOnly="0" labelOnly="1" outline="0" fieldPosition="0">
        <references count="2">
          <reference field="1" count="0"/>
          <reference field="15" count="1" selected="0">
            <x v="0"/>
          </reference>
        </references>
      </pivotArea>
    </format>
    <format dxfId="244">
      <pivotArea dataOnly="0" labelOnly="1" outline="0" fieldPosition="0">
        <references count="2">
          <reference field="1" count="0"/>
          <reference field="15" count="1" selected="0">
            <x v="1"/>
          </reference>
        </references>
      </pivotArea>
    </format>
    <format dxfId="243">
      <pivotArea dataOnly="0" labelOnly="1" outline="0" fieldPosition="0">
        <references count="3">
          <reference field="4294967294" count="2">
            <x v="0"/>
            <x v="1"/>
          </reference>
          <reference field="1" count="1" selected="0">
            <x v="0"/>
          </reference>
          <reference field="15" count="1" selected="0">
            <x v="0"/>
          </reference>
        </references>
      </pivotArea>
    </format>
    <format dxfId="242">
      <pivotArea dataOnly="0" labelOnly="1" outline="0" fieldPosition="0">
        <references count="3">
          <reference field="4294967294" count="2">
            <x v="0"/>
            <x v="1"/>
          </reference>
          <reference field="1" count="1" selected="0">
            <x v="1"/>
          </reference>
          <reference field="15" count="1" selected="0">
            <x v="0"/>
          </reference>
        </references>
      </pivotArea>
    </format>
    <format dxfId="241">
      <pivotArea dataOnly="0" labelOnly="1" outline="0" fieldPosition="0">
        <references count="3">
          <reference field="4294967294" count="2">
            <x v="0"/>
            <x v="1"/>
          </reference>
          <reference field="1" count="1" selected="0">
            <x v="0"/>
          </reference>
          <reference field="15" count="1" selected="0">
            <x v="1"/>
          </reference>
        </references>
      </pivotArea>
    </format>
    <format dxfId="240">
      <pivotArea dataOnly="0" labelOnly="1" outline="0" fieldPosition="0">
        <references count="3">
          <reference field="4294967294" count="2">
            <x v="0"/>
            <x v="1"/>
          </reference>
          <reference field="1" count="1" selected="0">
            <x v="1"/>
          </reference>
          <reference field="15" count="1" selected="0">
            <x v="1"/>
          </reference>
        </references>
      </pivotArea>
    </format>
    <format dxfId="239">
      <pivotArea outline="0" fieldPosition="0">
        <references count="1">
          <reference field="5" count="0" selected="0"/>
        </references>
      </pivotArea>
    </format>
    <format dxfId="238">
      <pivotArea type="origin" dataOnly="0" labelOnly="1" outline="0" fieldPosition="0"/>
    </format>
    <format dxfId="237">
      <pivotArea field="15" type="button" dataOnly="0" labelOnly="1" outline="0" axis="axisCol" fieldPosition="0"/>
    </format>
    <format dxfId="236">
      <pivotArea field="1" type="button" dataOnly="0" labelOnly="1" outline="0" axis="axisCol" fieldPosition="1"/>
    </format>
    <format dxfId="235">
      <pivotArea field="-2" type="button" dataOnly="0" labelOnly="1" outline="0" axis="axisCol" fieldPosition="2"/>
    </format>
    <format dxfId="234">
      <pivotArea type="topRight" dataOnly="0" labelOnly="1" outline="0" fieldPosition="0"/>
    </format>
    <format dxfId="233">
      <pivotArea field="5" type="button" dataOnly="0" labelOnly="1" outline="0" axis="axisRow" fieldPosition="0"/>
    </format>
    <format dxfId="232">
      <pivotArea dataOnly="0" labelOnly="1" outline="0" fieldPosition="0">
        <references count="1">
          <reference field="5" count="0"/>
        </references>
      </pivotArea>
    </format>
    <format dxfId="231">
      <pivotArea dataOnly="0" labelOnly="1" outline="0" fieldPosition="0">
        <references count="1">
          <reference field="15" count="0"/>
        </references>
      </pivotArea>
    </format>
    <format dxfId="230">
      <pivotArea field="15" dataOnly="0" labelOnly="1" grandCol="1" outline="0" axis="axisCol" fieldPosition="0">
        <references count="1">
          <reference field="4294967294" count="1" selected="0">
            <x v="0"/>
          </reference>
        </references>
      </pivotArea>
    </format>
    <format dxfId="229">
      <pivotArea field="15" dataOnly="0" labelOnly="1" grandCol="1" outline="0" axis="axisCol" fieldPosition="0">
        <references count="1">
          <reference field="4294967294" count="1" selected="0">
            <x v="1"/>
          </reference>
        </references>
      </pivotArea>
    </format>
    <format dxfId="228">
      <pivotArea dataOnly="0" labelOnly="1" outline="0" fieldPosition="0">
        <references count="2">
          <reference field="1" count="0"/>
          <reference field="15" count="1" selected="0">
            <x v="0"/>
          </reference>
        </references>
      </pivotArea>
    </format>
    <format dxfId="227">
      <pivotArea dataOnly="0" labelOnly="1" outline="0" fieldPosition="0">
        <references count="2">
          <reference field="1" count="0"/>
          <reference field="15" count="1" selected="0">
            <x v="1"/>
          </reference>
        </references>
      </pivotArea>
    </format>
    <format dxfId="226">
      <pivotArea dataOnly="0" labelOnly="1" outline="0" fieldPosition="0">
        <references count="3">
          <reference field="4294967294" count="2">
            <x v="0"/>
            <x v="1"/>
          </reference>
          <reference field="1" count="1" selected="0">
            <x v="0"/>
          </reference>
          <reference field="15" count="1" selected="0">
            <x v="0"/>
          </reference>
        </references>
      </pivotArea>
    </format>
    <format dxfId="225">
      <pivotArea dataOnly="0" labelOnly="1" outline="0" fieldPosition="0">
        <references count="3">
          <reference field="4294967294" count="2">
            <x v="0"/>
            <x v="1"/>
          </reference>
          <reference field="1" count="1" selected="0">
            <x v="1"/>
          </reference>
          <reference field="15" count="1" selected="0">
            <x v="0"/>
          </reference>
        </references>
      </pivotArea>
    </format>
    <format dxfId="224">
      <pivotArea dataOnly="0" labelOnly="1" outline="0" fieldPosition="0">
        <references count="3">
          <reference field="4294967294" count="2">
            <x v="0"/>
            <x v="1"/>
          </reference>
          <reference field="1" count="1" selected="0">
            <x v="0"/>
          </reference>
          <reference field="15" count="1" selected="0">
            <x v="1"/>
          </reference>
        </references>
      </pivotArea>
    </format>
    <format dxfId="223">
      <pivotArea dataOnly="0" labelOnly="1" outline="0" fieldPosition="0">
        <references count="3">
          <reference field="4294967294" count="2">
            <x v="0"/>
            <x v="1"/>
          </reference>
          <reference field="1" count="1" selected="0">
            <x v="1"/>
          </reference>
          <reference field="15" count="1" selected="0">
            <x v="1"/>
          </reference>
        </references>
      </pivotArea>
    </format>
    <format dxfId="222">
      <pivotArea outline="0" fieldPosition="0">
        <references count="1">
          <reference field="5" count="0" selected="0"/>
        </references>
      </pivotArea>
    </format>
    <format dxfId="221">
      <pivotArea type="origin" dataOnly="0" labelOnly="1" outline="0" fieldPosition="0"/>
    </format>
    <format dxfId="220">
      <pivotArea field="15" type="button" dataOnly="0" labelOnly="1" outline="0" axis="axisCol" fieldPosition="0"/>
    </format>
    <format dxfId="219">
      <pivotArea field="1" type="button" dataOnly="0" labelOnly="1" outline="0" axis="axisCol" fieldPosition="1"/>
    </format>
    <format dxfId="218">
      <pivotArea field="-2" type="button" dataOnly="0" labelOnly="1" outline="0" axis="axisCol" fieldPosition="2"/>
    </format>
    <format dxfId="217">
      <pivotArea type="topRight" dataOnly="0" labelOnly="1" outline="0" fieldPosition="0"/>
    </format>
    <format dxfId="216">
      <pivotArea field="5" type="button" dataOnly="0" labelOnly="1" outline="0" axis="axisRow" fieldPosition="0"/>
    </format>
    <format dxfId="215">
      <pivotArea dataOnly="0" labelOnly="1" outline="0" fieldPosition="0">
        <references count="1">
          <reference field="5" count="0"/>
        </references>
      </pivotArea>
    </format>
    <format dxfId="214">
      <pivotArea dataOnly="0" labelOnly="1" outline="0" fieldPosition="0">
        <references count="1">
          <reference field="15" count="0"/>
        </references>
      </pivotArea>
    </format>
    <format dxfId="213">
      <pivotArea field="15" dataOnly="0" labelOnly="1" grandCol="1" outline="0" axis="axisCol" fieldPosition="0">
        <references count="1">
          <reference field="4294967294" count="1" selected="0">
            <x v="0"/>
          </reference>
        </references>
      </pivotArea>
    </format>
    <format dxfId="212">
      <pivotArea field="15" dataOnly="0" labelOnly="1" grandCol="1" outline="0" axis="axisCol" fieldPosition="0">
        <references count="1">
          <reference field="4294967294" count="1" selected="0">
            <x v="1"/>
          </reference>
        </references>
      </pivotArea>
    </format>
    <format dxfId="211">
      <pivotArea dataOnly="0" labelOnly="1" outline="0" fieldPosition="0">
        <references count="2">
          <reference field="1" count="0"/>
          <reference field="15" count="1" selected="0">
            <x v="0"/>
          </reference>
        </references>
      </pivotArea>
    </format>
    <format dxfId="210">
      <pivotArea dataOnly="0" labelOnly="1" outline="0" fieldPosition="0">
        <references count="2">
          <reference field="1" count="0"/>
          <reference field="15" count="1" selected="0">
            <x v="1"/>
          </reference>
        </references>
      </pivotArea>
    </format>
    <format dxfId="209">
      <pivotArea dataOnly="0" labelOnly="1" outline="0" fieldPosition="0">
        <references count="3">
          <reference field="4294967294" count="2">
            <x v="0"/>
            <x v="1"/>
          </reference>
          <reference field="1" count="1" selected="0">
            <x v="0"/>
          </reference>
          <reference field="15" count="1" selected="0">
            <x v="0"/>
          </reference>
        </references>
      </pivotArea>
    </format>
    <format dxfId="208">
      <pivotArea dataOnly="0" labelOnly="1" outline="0" fieldPosition="0">
        <references count="3">
          <reference field="4294967294" count="2">
            <x v="0"/>
            <x v="1"/>
          </reference>
          <reference field="1" count="1" selected="0">
            <x v="1"/>
          </reference>
          <reference field="15" count="1" selected="0">
            <x v="0"/>
          </reference>
        </references>
      </pivotArea>
    </format>
    <format dxfId="207">
      <pivotArea dataOnly="0" labelOnly="1" outline="0" fieldPosition="0">
        <references count="3">
          <reference field="4294967294" count="2">
            <x v="0"/>
            <x v="1"/>
          </reference>
          <reference field="1" count="1" selected="0">
            <x v="0"/>
          </reference>
          <reference field="15" count="1" selected="0">
            <x v="1"/>
          </reference>
        </references>
      </pivotArea>
    </format>
    <format dxfId="206">
      <pivotArea dataOnly="0" labelOnly="1" outline="0" fieldPosition="0">
        <references count="3">
          <reference field="4294967294" count="2">
            <x v="0"/>
            <x v="1"/>
          </reference>
          <reference field="1" count="1" selected="0">
            <x v="1"/>
          </reference>
          <reference field="15"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80C596A3-9273-004C-963F-686213045D91}" name="Tableau croisé dynamique53" cacheId="164" dataOnRows="1" autoFormatId="0" applyNumberFormats="0" applyBorderFormats="0" applyFontFormats="0" applyPatternFormats="0" applyAlignmentFormats="0" applyWidthHeightFormats="1" dataCaption="Données" updatedVersion="6" minRefreshableVersion="3" showMultipleLabel="0" showMemberPropertyTips="0" useAutoFormatting="1" createdVersion="6" indent="0" compact="0" compactData="0" gridDropZones="1" chartFormat="1">
  <location ref="L152:O156"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axis="axisRow" compact="0" outline="0" subtotalTop="0" showAll="0" includeNewItemsInFilter="1" defaultSubtotal="0">
      <items count="2">
        <item x="0"/>
        <item x="1"/>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3"/>
  </rowFields>
  <rowItems count="3">
    <i>
      <x/>
    </i>
    <i>
      <x v="1"/>
    </i>
    <i t="grand">
      <x/>
    </i>
  </rowItems>
  <colFields count="1">
    <field x="1"/>
  </colFields>
  <colItems count="3">
    <i>
      <x v="1"/>
    </i>
    <i>
      <x v="2"/>
    </i>
    <i t="grand">
      <x/>
    </i>
  </colItems>
  <dataFields count="1">
    <dataField name="NB sur NOM" fld="0" subtotal="count" showDataAs="percentOfRow" baseField="0" baseItem="0" numFmtId="9"/>
  </dataFields>
  <formats count="26">
    <format dxfId="297">
      <pivotArea field="1" grandRow="1" outline="0" axis="axisCol" fieldPosition="0">
        <references count="1">
          <reference field="1" count="2" selected="0">
            <x v="1"/>
            <x v="2"/>
          </reference>
        </references>
      </pivotArea>
    </format>
    <format dxfId="296">
      <pivotArea field="1" grandRow="1" outline="0" axis="axisCol" fieldPosition="0">
        <references count="1">
          <reference field="1" count="2" selected="0">
            <x v="1"/>
            <x v="2"/>
          </reference>
        </references>
      </pivotArea>
    </format>
    <format dxfId="295">
      <pivotArea field="1" grandRow="1" outline="0" axis="axisCol" fieldPosition="0">
        <references count="1">
          <reference field="1" count="2" selected="0">
            <x v="1"/>
            <x v="2"/>
          </reference>
        </references>
      </pivotArea>
    </format>
    <format dxfId="294">
      <pivotArea field="1" grandRow="1" outline="0" axis="axisCol" fieldPosition="0">
        <references count="1">
          <reference field="1" count="2" selected="0">
            <x v="1"/>
            <x v="2"/>
          </reference>
        </references>
      </pivotArea>
    </format>
    <format dxfId="293">
      <pivotArea outline="0" fieldPosition="0">
        <references count="1">
          <reference field="1" count="2" selected="0">
            <x v="1"/>
            <x v="2"/>
          </reference>
        </references>
      </pivotArea>
    </format>
    <format dxfId="292">
      <pivotArea type="all" dataOnly="0" outline="0" fieldPosition="0"/>
    </format>
    <format dxfId="291">
      <pivotArea type="all" dataOnly="0" outline="0" fieldPosition="0"/>
    </format>
    <format dxfId="290">
      <pivotArea outline="0" collapsedLevelsAreSubtotals="1" fieldPosition="0"/>
    </format>
    <format dxfId="289">
      <pivotArea type="origin" dataOnly="0" labelOnly="1" outline="0" fieldPosition="0"/>
    </format>
    <format dxfId="288">
      <pivotArea field="1" type="button" dataOnly="0" labelOnly="1" outline="0" axis="axisCol" fieldPosition="0"/>
    </format>
    <format dxfId="287">
      <pivotArea type="topRight" dataOnly="0" labelOnly="1" outline="0" fieldPosition="0"/>
    </format>
    <format dxfId="286">
      <pivotArea field="23" type="button" dataOnly="0" labelOnly="1" outline="0" axis="axisRow" fieldPosition="0"/>
    </format>
    <format dxfId="285">
      <pivotArea dataOnly="0" labelOnly="1" outline="0" fieldPosition="0">
        <references count="1">
          <reference field="23" count="0"/>
        </references>
      </pivotArea>
    </format>
    <format dxfId="284">
      <pivotArea dataOnly="0" labelOnly="1" grandRow="1" outline="0" fieldPosition="0"/>
    </format>
    <format dxfId="283">
      <pivotArea dataOnly="0" labelOnly="1" outline="0" fieldPosition="0">
        <references count="1">
          <reference field="1" count="0"/>
        </references>
      </pivotArea>
    </format>
    <format dxfId="282">
      <pivotArea dataOnly="0" labelOnly="1" grandCol="1" outline="0" fieldPosition="0"/>
    </format>
    <format dxfId="281">
      <pivotArea type="all" dataOnly="0" outline="0" fieldPosition="0"/>
    </format>
    <format dxfId="280">
      <pivotArea outline="0" collapsedLevelsAreSubtotals="1" fieldPosition="0"/>
    </format>
    <format dxfId="279">
      <pivotArea type="origin" dataOnly="0" labelOnly="1" outline="0" fieldPosition="0"/>
    </format>
    <format dxfId="278">
      <pivotArea field="1" type="button" dataOnly="0" labelOnly="1" outline="0" axis="axisCol" fieldPosition="0"/>
    </format>
    <format dxfId="277">
      <pivotArea type="topRight" dataOnly="0" labelOnly="1" outline="0" fieldPosition="0"/>
    </format>
    <format dxfId="276">
      <pivotArea field="23" type="button" dataOnly="0" labelOnly="1" outline="0" axis="axisRow" fieldPosition="0"/>
    </format>
    <format dxfId="275">
      <pivotArea dataOnly="0" labelOnly="1" outline="0" fieldPosition="0">
        <references count="1">
          <reference field="23" count="0"/>
        </references>
      </pivotArea>
    </format>
    <format dxfId="274">
      <pivotArea dataOnly="0" labelOnly="1" grandRow="1" outline="0" fieldPosition="0"/>
    </format>
    <format dxfId="273">
      <pivotArea dataOnly="0" labelOnly="1" outline="0" fieldPosition="0">
        <references count="1">
          <reference field="1" count="0"/>
        </references>
      </pivotArea>
    </format>
    <format dxfId="272">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B6C4A93-92DA-814D-9556-F943D62EC323}" name="Tableau croisé dynamique47"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Y117:AM125" firstHeaderRow="1" firstDataRow="4" firstDataCol="1" rowPageCount="1" colPageCount="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axis="axisPage" compact="0" outline="0" subtotalTop="0" showAll="0" includeNewItemsInFilter="1">
      <items count="7">
        <item x="2"/>
        <item x="0"/>
        <item x="3"/>
        <item x="4"/>
        <item x="1"/>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axis="axisCol" compact="0" outline="0" subtotalTop="0" showAll="0" includeNewItemsInFilter="1" defaultSubtotal="0">
      <items count="2">
        <item x="1"/>
        <item x="0"/>
      </items>
    </pivotField>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3">
    <field x="1"/>
    <field x="24"/>
    <field x="-2"/>
  </colFields>
  <colItems count="14">
    <i>
      <x/>
      <x/>
      <x/>
    </i>
    <i r="2" i="1">
      <x v="1"/>
    </i>
    <i r="1">
      <x v="1"/>
      <x/>
    </i>
    <i r="2" i="1">
      <x v="1"/>
    </i>
    <i t="default">
      <x/>
    </i>
    <i t="default" i="1">
      <x/>
    </i>
    <i>
      <x v="1"/>
      <x/>
      <x/>
    </i>
    <i r="2" i="1">
      <x v="1"/>
    </i>
    <i r="1">
      <x v="1"/>
      <x/>
    </i>
    <i r="2" i="1">
      <x v="1"/>
    </i>
    <i t="default">
      <x v="1"/>
    </i>
    <i t="default" i="1">
      <x v="1"/>
    </i>
    <i t="grand">
      <x/>
    </i>
    <i t="grand" i="1">
      <x/>
    </i>
  </colItems>
  <pageFields count="1">
    <pageField fld="9" hier="0"/>
  </pageFields>
  <dataFields count="2">
    <dataField name="Effectif" fld="0" subtotal="count" baseField="0" baseItem="0"/>
    <dataField name="Effectif %" fld="0" subtotal="count" showDataAs="percentOfRow" baseField="0" baseItem="0" numFmtId="10"/>
  </dataFields>
  <formats count="72">
    <format dxfId="369">
      <pivotArea field="1" grandRow="1" outline="0" axis="axisCol" fieldPosition="0">
        <references count="1">
          <reference field="1" count="2" selected="0">
            <x v="0"/>
            <x v="1"/>
          </reference>
        </references>
      </pivotArea>
    </format>
    <format dxfId="368">
      <pivotArea field="5" grandCol="1" outline="0" axis="axisRow" fieldPosition="0">
        <references count="1">
          <reference field="5" count="0" selected="0"/>
        </references>
      </pivotArea>
    </format>
    <format dxfId="367">
      <pivotArea grandRow="1" grandCol="1" outline="0" fieldPosition="0"/>
    </format>
    <format dxfId="366">
      <pivotArea outline="0" fieldPosition="0">
        <references count="2">
          <reference field="1" count="2" selected="0">
            <x v="0"/>
            <x v="1"/>
          </reference>
          <reference field="5" count="0" selected="0"/>
        </references>
      </pivotArea>
    </format>
    <format dxfId="365">
      <pivotArea outline="0" fieldPosition="0"/>
    </format>
    <format dxfId="364">
      <pivotArea type="all" dataOnly="0" outline="0" fieldPosition="0"/>
    </format>
    <format dxfId="363">
      <pivotArea type="all" dataOnly="0" outline="0" fieldPosition="0"/>
    </format>
    <format dxfId="362">
      <pivotArea outline="0" fieldPosition="0">
        <references count="2">
          <reference field="1" count="1" selected="0">
            <x v="1"/>
          </reference>
          <reference field="5" count="1" selected="0">
            <x v="5"/>
          </reference>
        </references>
      </pivotArea>
    </format>
    <format dxfId="361">
      <pivotArea type="all" dataOnly="0" outline="0" fieldPosition="0"/>
    </format>
    <format dxfId="360">
      <pivotArea type="all" dataOnly="0" outline="0" fieldPosition="0"/>
    </format>
    <format dxfId="359">
      <pivotArea type="all" dataOnly="0" outline="0" fieldPosition="0"/>
    </format>
    <format dxfId="358">
      <pivotArea type="all" dataOnly="0" outline="0" fieldPosition="0"/>
    </format>
    <format dxfId="357">
      <pivotArea outline="0" fieldPosition="0">
        <references count="1">
          <reference field="4294967294" count="1">
            <x v="1"/>
          </reference>
        </references>
      </pivotArea>
    </format>
    <format dxfId="356">
      <pivotArea type="all" dataOnly="0" outline="0" fieldPosition="0"/>
    </format>
    <format dxfId="355">
      <pivotArea outline="0" fieldPosition="0"/>
    </format>
    <format dxfId="354">
      <pivotArea type="origin" dataOnly="0" labelOnly="1" outline="0" fieldPosition="0"/>
    </format>
    <format dxfId="353">
      <pivotArea field="1" type="button" dataOnly="0" labelOnly="1" outline="0" axis="axisCol" fieldPosition="0"/>
    </format>
    <format dxfId="352">
      <pivotArea field="24" type="button" dataOnly="0" labelOnly="1" outline="0" axis="axisCol" fieldPosition="1"/>
    </format>
    <format dxfId="351">
      <pivotArea field="-2" type="button" dataOnly="0" labelOnly="1" outline="0" axis="axisCol" fieldPosition="2"/>
    </format>
    <format dxfId="350">
      <pivotArea type="topRight" dataOnly="0" labelOnly="1" outline="0" fieldPosition="0"/>
    </format>
    <format dxfId="349">
      <pivotArea field="5" type="button" dataOnly="0" labelOnly="1" outline="0" axis="axisRow" fieldPosition="0"/>
    </format>
    <format dxfId="348">
      <pivotArea dataOnly="0" labelOnly="1" outline="0" fieldPosition="0">
        <references count="1">
          <reference field="5" count="0"/>
        </references>
      </pivotArea>
    </format>
    <format dxfId="347">
      <pivotArea dataOnly="0" labelOnly="1" grandRow="1" outline="0" fieldPosition="0"/>
    </format>
    <format dxfId="346">
      <pivotArea dataOnly="0" labelOnly="1" outline="0" fieldPosition="0">
        <references count="1">
          <reference field="1" count="0"/>
        </references>
      </pivotArea>
    </format>
    <format dxfId="345">
      <pivotArea dataOnly="0" labelOnly="1" outline="0" fieldPosition="0">
        <references count="2">
          <reference field="4294967294" count="1" selected="0">
            <x v="0"/>
          </reference>
          <reference field="1" count="0" defaultSubtotal="1"/>
        </references>
      </pivotArea>
    </format>
    <format dxfId="344">
      <pivotArea dataOnly="0" labelOnly="1" outline="0" fieldPosition="0">
        <references count="2">
          <reference field="4294967294" count="1" selected="0">
            <x v="1"/>
          </reference>
          <reference field="1" count="0" defaultSubtotal="1"/>
        </references>
      </pivotArea>
    </format>
    <format dxfId="343">
      <pivotArea field="1" dataOnly="0" labelOnly="1" grandCol="1" outline="0" axis="axisCol" fieldPosition="0">
        <references count="1">
          <reference field="4294967294" count="1" selected="0">
            <x v="0"/>
          </reference>
        </references>
      </pivotArea>
    </format>
    <format dxfId="342">
      <pivotArea field="1" dataOnly="0" labelOnly="1" grandCol="1" outline="0" axis="axisCol" fieldPosition="0">
        <references count="1">
          <reference field="4294967294" count="1" selected="0">
            <x v="1"/>
          </reference>
        </references>
      </pivotArea>
    </format>
    <format dxfId="341">
      <pivotArea dataOnly="0" labelOnly="1" outline="0" fieldPosition="0">
        <references count="2">
          <reference field="1" count="1" selected="0">
            <x v="0"/>
          </reference>
          <reference field="24" count="0"/>
        </references>
      </pivotArea>
    </format>
    <format dxfId="340">
      <pivotArea dataOnly="0" labelOnly="1" outline="0" fieldPosition="0">
        <references count="2">
          <reference field="1" count="1" selected="0">
            <x v="1"/>
          </reference>
          <reference field="24" count="0"/>
        </references>
      </pivotArea>
    </format>
    <format dxfId="339">
      <pivotArea dataOnly="0" labelOnly="1" outline="0" fieldPosition="0">
        <references count="3">
          <reference field="4294967294" count="2">
            <x v="0"/>
            <x v="1"/>
          </reference>
          <reference field="1" count="1" selected="0">
            <x v="0"/>
          </reference>
          <reference field="24" count="1" selected="0">
            <x v="0"/>
          </reference>
        </references>
      </pivotArea>
    </format>
    <format dxfId="338">
      <pivotArea dataOnly="0" labelOnly="1" outline="0" fieldPosition="0">
        <references count="3">
          <reference field="4294967294" count="2">
            <x v="0"/>
            <x v="1"/>
          </reference>
          <reference field="1" count="1" selected="0">
            <x v="0"/>
          </reference>
          <reference field="24" count="1" selected="0">
            <x v="1"/>
          </reference>
        </references>
      </pivotArea>
    </format>
    <format dxfId="337">
      <pivotArea dataOnly="0" labelOnly="1" outline="0" fieldPosition="0">
        <references count="3">
          <reference field="4294967294" count="2">
            <x v="0"/>
            <x v="1"/>
          </reference>
          <reference field="1" count="1" selected="0">
            <x v="1"/>
          </reference>
          <reference field="24" count="1" selected="0">
            <x v="0"/>
          </reference>
        </references>
      </pivotArea>
    </format>
    <format dxfId="336">
      <pivotArea dataOnly="0" labelOnly="1" outline="0" fieldPosition="0">
        <references count="3">
          <reference field="4294967294" count="2">
            <x v="0"/>
            <x v="1"/>
          </reference>
          <reference field="1" count="1" selected="0">
            <x v="1"/>
          </reference>
          <reference field="24" count="1" selected="0">
            <x v="1"/>
          </reference>
        </references>
      </pivotArea>
    </format>
    <format dxfId="335">
      <pivotArea outline="0" fieldPosition="0">
        <references count="1">
          <reference field="5" count="0" selected="0"/>
        </references>
      </pivotArea>
    </format>
    <format dxfId="334">
      <pivotArea type="origin" dataOnly="0" labelOnly="1" outline="0" fieldPosition="0"/>
    </format>
    <format dxfId="333">
      <pivotArea field="1" type="button" dataOnly="0" labelOnly="1" outline="0" axis="axisCol" fieldPosition="0"/>
    </format>
    <format dxfId="332">
      <pivotArea field="24" type="button" dataOnly="0" labelOnly="1" outline="0" axis="axisCol" fieldPosition="1"/>
    </format>
    <format dxfId="331">
      <pivotArea field="-2" type="button" dataOnly="0" labelOnly="1" outline="0" axis="axisCol" fieldPosition="2"/>
    </format>
    <format dxfId="330">
      <pivotArea type="topRight" dataOnly="0" labelOnly="1" outline="0" fieldPosition="0"/>
    </format>
    <format dxfId="329">
      <pivotArea field="5" type="button" dataOnly="0" labelOnly="1" outline="0" axis="axisRow" fieldPosition="0"/>
    </format>
    <format dxfId="328">
      <pivotArea dataOnly="0" labelOnly="1" outline="0" fieldPosition="0">
        <references count="1">
          <reference field="5" count="0"/>
        </references>
      </pivotArea>
    </format>
    <format dxfId="327">
      <pivotArea dataOnly="0" labelOnly="1" outline="0" fieldPosition="0">
        <references count="1">
          <reference field="1" count="0"/>
        </references>
      </pivotArea>
    </format>
    <format dxfId="326">
      <pivotArea dataOnly="0" labelOnly="1" outline="0" fieldPosition="0">
        <references count="2">
          <reference field="4294967294" count="1" selected="0">
            <x v="0"/>
          </reference>
          <reference field="1" count="0" defaultSubtotal="1"/>
        </references>
      </pivotArea>
    </format>
    <format dxfId="325">
      <pivotArea dataOnly="0" labelOnly="1" outline="0" fieldPosition="0">
        <references count="2">
          <reference field="4294967294" count="1" selected="0">
            <x v="1"/>
          </reference>
          <reference field="1" count="0" defaultSubtotal="1"/>
        </references>
      </pivotArea>
    </format>
    <format dxfId="324">
      <pivotArea field="1" dataOnly="0" labelOnly="1" grandCol="1" outline="0" axis="axisCol" fieldPosition="0">
        <references count="1">
          <reference field="4294967294" count="1" selected="0">
            <x v="0"/>
          </reference>
        </references>
      </pivotArea>
    </format>
    <format dxfId="323">
      <pivotArea field="1" dataOnly="0" labelOnly="1" grandCol="1" outline="0" axis="axisCol" fieldPosition="0">
        <references count="1">
          <reference field="4294967294" count="1" selected="0">
            <x v="1"/>
          </reference>
        </references>
      </pivotArea>
    </format>
    <format dxfId="322">
      <pivotArea dataOnly="0" labelOnly="1" outline="0" fieldPosition="0">
        <references count="2">
          <reference field="1" count="1" selected="0">
            <x v="0"/>
          </reference>
          <reference field="24" count="0"/>
        </references>
      </pivotArea>
    </format>
    <format dxfId="321">
      <pivotArea dataOnly="0" labelOnly="1" outline="0" fieldPosition="0">
        <references count="2">
          <reference field="1" count="1" selected="0">
            <x v="1"/>
          </reference>
          <reference field="24" count="0"/>
        </references>
      </pivotArea>
    </format>
    <format dxfId="320">
      <pivotArea dataOnly="0" labelOnly="1" outline="0" fieldPosition="0">
        <references count="3">
          <reference field="4294967294" count="2">
            <x v="0"/>
            <x v="1"/>
          </reference>
          <reference field="1" count="1" selected="0">
            <x v="0"/>
          </reference>
          <reference field="24" count="1" selected="0">
            <x v="0"/>
          </reference>
        </references>
      </pivotArea>
    </format>
    <format dxfId="319">
      <pivotArea dataOnly="0" labelOnly="1" outline="0" fieldPosition="0">
        <references count="3">
          <reference field="4294967294" count="2">
            <x v="0"/>
            <x v="1"/>
          </reference>
          <reference field="1" count="1" selected="0">
            <x v="0"/>
          </reference>
          <reference field="24" count="1" selected="0">
            <x v="1"/>
          </reference>
        </references>
      </pivotArea>
    </format>
    <format dxfId="318">
      <pivotArea dataOnly="0" labelOnly="1" outline="0" fieldPosition="0">
        <references count="3">
          <reference field="4294967294" count="2">
            <x v="0"/>
            <x v="1"/>
          </reference>
          <reference field="1" count="1" selected="0">
            <x v="1"/>
          </reference>
          <reference field="24" count="1" selected="0">
            <x v="0"/>
          </reference>
        </references>
      </pivotArea>
    </format>
    <format dxfId="317">
      <pivotArea dataOnly="0" labelOnly="1" outline="0" fieldPosition="0">
        <references count="3">
          <reference field="4294967294" count="2">
            <x v="0"/>
            <x v="1"/>
          </reference>
          <reference field="1" count="1" selected="0">
            <x v="1"/>
          </reference>
          <reference field="24" count="1" selected="0">
            <x v="1"/>
          </reference>
        </references>
      </pivotArea>
    </format>
    <format dxfId="316">
      <pivotArea outline="0" fieldPosition="0">
        <references count="1">
          <reference field="5" count="0" selected="0"/>
        </references>
      </pivotArea>
    </format>
    <format dxfId="315">
      <pivotArea type="origin" dataOnly="0" labelOnly="1" outline="0" fieldPosition="0"/>
    </format>
    <format dxfId="314">
      <pivotArea field="1" type="button" dataOnly="0" labelOnly="1" outline="0" axis="axisCol" fieldPosition="0"/>
    </format>
    <format dxfId="313">
      <pivotArea field="24" type="button" dataOnly="0" labelOnly="1" outline="0" axis="axisCol" fieldPosition="1"/>
    </format>
    <format dxfId="312">
      <pivotArea field="-2" type="button" dataOnly="0" labelOnly="1" outline="0" axis="axisCol" fieldPosition="2"/>
    </format>
    <format dxfId="311">
      <pivotArea type="topRight" dataOnly="0" labelOnly="1" outline="0" fieldPosition="0"/>
    </format>
    <format dxfId="310">
      <pivotArea field="5" type="button" dataOnly="0" labelOnly="1" outline="0" axis="axisRow" fieldPosition="0"/>
    </format>
    <format dxfId="309">
      <pivotArea dataOnly="0" labelOnly="1" outline="0" fieldPosition="0">
        <references count="1">
          <reference field="5" count="0"/>
        </references>
      </pivotArea>
    </format>
    <format dxfId="308">
      <pivotArea dataOnly="0" labelOnly="1" outline="0" fieldPosition="0">
        <references count="1">
          <reference field="1" count="0"/>
        </references>
      </pivotArea>
    </format>
    <format dxfId="307">
      <pivotArea dataOnly="0" labelOnly="1" outline="0" fieldPosition="0">
        <references count="2">
          <reference field="4294967294" count="1" selected="0">
            <x v="0"/>
          </reference>
          <reference field="1" count="0" defaultSubtotal="1"/>
        </references>
      </pivotArea>
    </format>
    <format dxfId="306">
      <pivotArea dataOnly="0" labelOnly="1" outline="0" fieldPosition="0">
        <references count="2">
          <reference field="4294967294" count="1" selected="0">
            <x v="1"/>
          </reference>
          <reference field="1" count="0" defaultSubtotal="1"/>
        </references>
      </pivotArea>
    </format>
    <format dxfId="305">
      <pivotArea field="1" dataOnly="0" labelOnly="1" grandCol="1" outline="0" axis="axisCol" fieldPosition="0">
        <references count="1">
          <reference field="4294967294" count="1" selected="0">
            <x v="0"/>
          </reference>
        </references>
      </pivotArea>
    </format>
    <format dxfId="304">
      <pivotArea field="1" dataOnly="0" labelOnly="1" grandCol="1" outline="0" axis="axisCol" fieldPosition="0">
        <references count="1">
          <reference field="4294967294" count="1" selected="0">
            <x v="1"/>
          </reference>
        </references>
      </pivotArea>
    </format>
    <format dxfId="303">
      <pivotArea dataOnly="0" labelOnly="1" outline="0" fieldPosition="0">
        <references count="2">
          <reference field="1" count="1" selected="0">
            <x v="0"/>
          </reference>
          <reference field="24" count="0"/>
        </references>
      </pivotArea>
    </format>
    <format dxfId="302">
      <pivotArea dataOnly="0" labelOnly="1" outline="0" fieldPosition="0">
        <references count="2">
          <reference field="1" count="1" selected="0">
            <x v="1"/>
          </reference>
          <reference field="24" count="0"/>
        </references>
      </pivotArea>
    </format>
    <format dxfId="301">
      <pivotArea dataOnly="0" labelOnly="1" outline="0" fieldPosition="0">
        <references count="3">
          <reference field="4294967294" count="2">
            <x v="0"/>
            <x v="1"/>
          </reference>
          <reference field="1" count="1" selected="0">
            <x v="0"/>
          </reference>
          <reference field="24" count="1" selected="0">
            <x v="0"/>
          </reference>
        </references>
      </pivotArea>
    </format>
    <format dxfId="300">
      <pivotArea dataOnly="0" labelOnly="1" outline="0" fieldPosition="0">
        <references count="3">
          <reference field="4294967294" count="2">
            <x v="0"/>
            <x v="1"/>
          </reference>
          <reference field="1" count="1" selected="0">
            <x v="0"/>
          </reference>
          <reference field="24" count="1" selected="0">
            <x v="1"/>
          </reference>
        </references>
      </pivotArea>
    </format>
    <format dxfId="299">
      <pivotArea dataOnly="0" labelOnly="1" outline="0" fieldPosition="0">
        <references count="3">
          <reference field="4294967294" count="2">
            <x v="0"/>
            <x v="1"/>
          </reference>
          <reference field="1" count="1" selected="0">
            <x v="1"/>
          </reference>
          <reference field="24" count="1" selected="0">
            <x v="0"/>
          </reference>
        </references>
      </pivotArea>
    </format>
    <format dxfId="298">
      <pivotArea dataOnly="0" labelOnly="1" outline="0" fieldPosition="0">
        <references count="3">
          <reference field="4294967294" count="2">
            <x v="0"/>
            <x v="1"/>
          </reference>
          <reference field="1" count="1" selected="0">
            <x v="1"/>
          </reference>
          <reference field="24"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E07CDC10-CEFB-6548-9597-36EBB42BE3C1}" name="PivotTable11" cacheId="164"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location ref="Y30:AM38" firstHeaderRow="1" firstDataRow="4" firstDataCol="1"/>
  <pivotFields count="36">
    <pivotField dataField="1" compact="0" outline="0" subtotalTop="0" showAll="0" includeNewItemsInFilter="1"/>
    <pivotField axis="axisCol"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axis="axisRow"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pivotField compact="0" outline="0" subtotalTop="0" showAll="0" includeNewItemsInFilter="1" defaultSubtotal="0"/>
    <pivotField compact="0" outline="0" subtotalTop="0" showAll="0" includeNewItemsInFilter="1"/>
    <pivotField axis="axisCol"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5"/>
  </rowFields>
  <rowItems count="5">
    <i>
      <x/>
    </i>
    <i>
      <x v="4"/>
    </i>
    <i>
      <x v="5"/>
    </i>
    <i>
      <x v="6"/>
    </i>
    <i t="grand">
      <x/>
    </i>
  </rowItems>
  <colFields count="3">
    <field x="13"/>
    <field x="1"/>
    <field x="-2"/>
  </colFields>
  <colItems count="14">
    <i>
      <x/>
      <x/>
      <x/>
    </i>
    <i r="2" i="1">
      <x v="1"/>
    </i>
    <i r="1">
      <x v="1"/>
      <x/>
    </i>
    <i r="2" i="1">
      <x v="1"/>
    </i>
    <i t="default">
      <x/>
    </i>
    <i t="default" i="1">
      <x/>
    </i>
    <i>
      <x v="1"/>
      <x/>
      <x/>
    </i>
    <i r="2" i="1">
      <x v="1"/>
    </i>
    <i r="1">
      <x v="1"/>
      <x/>
    </i>
    <i r="2" i="1">
      <x v="1"/>
    </i>
    <i t="default">
      <x v="1"/>
    </i>
    <i t="default" i="1">
      <x v="1"/>
    </i>
    <i t="grand">
      <x/>
    </i>
    <i t="grand" i="1">
      <x/>
    </i>
  </colItems>
  <dataFields count="2">
    <dataField name="NB sur NOM" fld="0" subtotal="count" baseField="0" baseItem="0"/>
    <dataField name="NB sur NOM2" fld="0" subtotal="count" showDataAs="percentOfRow" baseField="0" baseItem="0" numFmtId="10"/>
  </dataFields>
  <formats count="75">
    <format dxfId="444">
      <pivotArea field="1" grandRow="1" outline="0" axis="axisCol" fieldPosition="1">
        <references count="1">
          <reference field="1" count="2" selected="0">
            <x v="0"/>
            <x v="1"/>
          </reference>
        </references>
      </pivotArea>
    </format>
    <format dxfId="443">
      <pivotArea field="5" grandCol="1" outline="0" axis="axisRow" fieldPosition="0">
        <references count="1">
          <reference field="5" count="0" selected="0"/>
        </references>
      </pivotArea>
    </format>
    <format dxfId="442">
      <pivotArea grandRow="1" grandCol="1" outline="0" fieldPosition="0"/>
    </format>
    <format dxfId="441">
      <pivotArea outline="0" fieldPosition="0">
        <references count="2">
          <reference field="1" count="2" selected="0">
            <x v="0"/>
            <x v="1"/>
          </reference>
          <reference field="5" count="0" selected="0"/>
        </references>
      </pivotArea>
    </format>
    <format dxfId="440">
      <pivotArea outline="0" fieldPosition="0"/>
    </format>
    <format dxfId="439">
      <pivotArea type="all" dataOnly="0" outline="0" fieldPosition="0"/>
    </format>
    <format dxfId="438">
      <pivotArea type="all" dataOnly="0" outline="0" fieldPosition="0"/>
    </format>
    <format dxfId="437">
      <pivotArea outline="0" fieldPosition="0">
        <references count="2">
          <reference field="1" count="1" selected="0">
            <x v="1"/>
          </reference>
          <reference field="5" count="1" selected="0">
            <x v="5"/>
          </reference>
        </references>
      </pivotArea>
    </format>
    <format dxfId="436">
      <pivotArea type="all" dataOnly="0" outline="0" fieldPosition="0"/>
    </format>
    <format dxfId="435">
      <pivotArea type="all" dataOnly="0" outline="0" fieldPosition="0"/>
    </format>
    <format dxfId="434">
      <pivotArea type="all" dataOnly="0" outline="0" fieldPosition="0"/>
    </format>
    <format dxfId="433">
      <pivotArea outline="0" fieldPosition="0">
        <references count="1">
          <reference field="4294967294" count="1">
            <x v="1"/>
          </reference>
        </references>
      </pivotArea>
    </format>
    <format dxfId="432">
      <pivotArea type="all" dataOnly="0" outline="0" fieldPosition="0"/>
    </format>
    <format dxfId="431">
      <pivotArea outline="0" fieldPosition="0"/>
    </format>
    <format dxfId="430">
      <pivotArea type="origin" dataOnly="0" labelOnly="1" outline="0" fieldPosition="0"/>
    </format>
    <format dxfId="429">
      <pivotArea field="13" type="button" dataOnly="0" labelOnly="1" outline="0" axis="axisCol" fieldPosition="0"/>
    </format>
    <format dxfId="428">
      <pivotArea field="1" type="button" dataOnly="0" labelOnly="1" outline="0" axis="axisCol" fieldPosition="1"/>
    </format>
    <format dxfId="427">
      <pivotArea field="-2" type="button" dataOnly="0" labelOnly="1" outline="0" axis="axisCol" fieldPosition="2"/>
    </format>
    <format dxfId="426">
      <pivotArea type="topRight" dataOnly="0" labelOnly="1" outline="0" fieldPosition="0"/>
    </format>
    <format dxfId="425">
      <pivotArea field="5" type="button" dataOnly="0" labelOnly="1" outline="0" axis="axisRow" fieldPosition="0"/>
    </format>
    <format dxfId="424">
      <pivotArea dataOnly="0" labelOnly="1" outline="0" fieldPosition="0">
        <references count="1">
          <reference field="5" count="0"/>
        </references>
      </pivotArea>
    </format>
    <format dxfId="423">
      <pivotArea dataOnly="0" labelOnly="1" grandRow="1" outline="0" fieldPosition="0"/>
    </format>
    <format dxfId="422">
      <pivotArea dataOnly="0" labelOnly="1" outline="0" fieldPosition="0">
        <references count="1">
          <reference field="13" count="0"/>
        </references>
      </pivotArea>
    </format>
    <format dxfId="421">
      <pivotArea dataOnly="0" labelOnly="1" outline="0" fieldPosition="0">
        <references count="2">
          <reference field="4294967294" count="1" selected="0">
            <x v="0"/>
          </reference>
          <reference field="13" count="0" defaultSubtotal="1"/>
        </references>
      </pivotArea>
    </format>
    <format dxfId="420">
      <pivotArea dataOnly="0" labelOnly="1" outline="0" fieldPosition="0">
        <references count="2">
          <reference field="4294967294" count="1" selected="0">
            <x v="1"/>
          </reference>
          <reference field="13" count="0" defaultSubtotal="1"/>
        </references>
      </pivotArea>
    </format>
    <format dxfId="419">
      <pivotArea field="13" dataOnly="0" labelOnly="1" grandCol="1" outline="0" axis="axisCol" fieldPosition="0">
        <references count="1">
          <reference field="4294967294" count="1" selected="0">
            <x v="0"/>
          </reference>
        </references>
      </pivotArea>
    </format>
    <format dxfId="418">
      <pivotArea field="13" dataOnly="0" labelOnly="1" grandCol="1" outline="0" axis="axisCol" fieldPosition="0">
        <references count="1">
          <reference field="4294967294" count="1" selected="0">
            <x v="1"/>
          </reference>
        </references>
      </pivotArea>
    </format>
    <format dxfId="417">
      <pivotArea dataOnly="0" labelOnly="1" outline="0" fieldPosition="0">
        <references count="2">
          <reference field="1" count="0"/>
          <reference field="13" count="1" selected="0">
            <x v="0"/>
          </reference>
        </references>
      </pivotArea>
    </format>
    <format dxfId="416">
      <pivotArea dataOnly="0" labelOnly="1" outline="0" fieldPosition="0">
        <references count="2">
          <reference field="1" count="0"/>
          <reference field="13" count="1" selected="0">
            <x v="1"/>
          </reference>
        </references>
      </pivotArea>
    </format>
    <format dxfId="415">
      <pivotArea dataOnly="0" labelOnly="1" outline="0" fieldPosition="0">
        <references count="3">
          <reference field="4294967294" count="2">
            <x v="0"/>
            <x v="1"/>
          </reference>
          <reference field="1" count="1" selected="0">
            <x v="0"/>
          </reference>
          <reference field="13" count="1" selected="0">
            <x v="0"/>
          </reference>
        </references>
      </pivotArea>
    </format>
    <format dxfId="414">
      <pivotArea dataOnly="0" labelOnly="1" outline="0" fieldPosition="0">
        <references count="3">
          <reference field="4294967294" count="2">
            <x v="0"/>
            <x v="1"/>
          </reference>
          <reference field="1" count="1" selected="0">
            <x v="1"/>
          </reference>
          <reference field="13" count="1" selected="0">
            <x v="0"/>
          </reference>
        </references>
      </pivotArea>
    </format>
    <format dxfId="413">
      <pivotArea dataOnly="0" labelOnly="1" outline="0" fieldPosition="0">
        <references count="3">
          <reference field="4294967294" count="2">
            <x v="0"/>
            <x v="1"/>
          </reference>
          <reference field="1" count="1" selected="0">
            <x v="0"/>
          </reference>
          <reference field="13" count="1" selected="0">
            <x v="1"/>
          </reference>
        </references>
      </pivotArea>
    </format>
    <format dxfId="412">
      <pivotArea dataOnly="0" labelOnly="1" outline="0" fieldPosition="0">
        <references count="3">
          <reference field="4294967294" count="2">
            <x v="0"/>
            <x v="1"/>
          </reference>
          <reference field="1" count="1" selected="0">
            <x v="1"/>
          </reference>
          <reference field="13" count="1" selected="0">
            <x v="1"/>
          </reference>
        </references>
      </pivotArea>
    </format>
    <format dxfId="411">
      <pivotArea type="all" dataOnly="0" outline="0" fieldPosition="0"/>
    </format>
    <format dxfId="410">
      <pivotArea outline="0" collapsedLevelsAreSubtotals="1" fieldPosition="0"/>
    </format>
    <format dxfId="409">
      <pivotArea type="origin" dataOnly="0" labelOnly="1" outline="0" fieldPosition="0"/>
    </format>
    <format dxfId="408">
      <pivotArea field="13" type="button" dataOnly="0" labelOnly="1" outline="0" axis="axisCol" fieldPosition="0"/>
    </format>
    <format dxfId="407">
      <pivotArea field="1" type="button" dataOnly="0" labelOnly="1" outline="0" axis="axisCol" fieldPosition="1"/>
    </format>
    <format dxfId="406">
      <pivotArea field="-2" type="button" dataOnly="0" labelOnly="1" outline="0" axis="axisCol" fieldPosition="2"/>
    </format>
    <format dxfId="405">
      <pivotArea type="topRight" dataOnly="0" labelOnly="1" outline="0" fieldPosition="0"/>
    </format>
    <format dxfId="404">
      <pivotArea field="5" type="button" dataOnly="0" labelOnly="1" outline="0" axis="axisRow" fieldPosition="0"/>
    </format>
    <format dxfId="403">
      <pivotArea dataOnly="0" labelOnly="1" outline="0" fieldPosition="0">
        <references count="1">
          <reference field="5" count="0"/>
        </references>
      </pivotArea>
    </format>
    <format dxfId="402">
      <pivotArea dataOnly="0" labelOnly="1" grandRow="1" outline="0" fieldPosition="0"/>
    </format>
    <format dxfId="401">
      <pivotArea dataOnly="0" labelOnly="1" outline="0" fieldPosition="0">
        <references count="1">
          <reference field="13" count="0"/>
        </references>
      </pivotArea>
    </format>
    <format dxfId="400">
      <pivotArea dataOnly="0" labelOnly="1" outline="0" fieldPosition="0">
        <references count="2">
          <reference field="4294967294" count="1" selected="0">
            <x v="0"/>
          </reference>
          <reference field="13" count="0" defaultSubtotal="1"/>
        </references>
      </pivotArea>
    </format>
    <format dxfId="399">
      <pivotArea dataOnly="0" labelOnly="1" outline="0" fieldPosition="0">
        <references count="2">
          <reference field="4294967294" count="1" selected="0">
            <x v="1"/>
          </reference>
          <reference field="13" count="0" defaultSubtotal="1"/>
        </references>
      </pivotArea>
    </format>
    <format dxfId="398">
      <pivotArea field="13" dataOnly="0" labelOnly="1" grandCol="1" outline="0" axis="axisCol" fieldPosition="0">
        <references count="1">
          <reference field="4294967294" count="1" selected="0">
            <x v="0"/>
          </reference>
        </references>
      </pivotArea>
    </format>
    <format dxfId="397">
      <pivotArea field="13" dataOnly="0" labelOnly="1" grandCol="1" outline="0" axis="axisCol" fieldPosition="0">
        <references count="1">
          <reference field="4294967294" count="1" selected="0">
            <x v="1"/>
          </reference>
        </references>
      </pivotArea>
    </format>
    <format dxfId="396">
      <pivotArea dataOnly="0" labelOnly="1" outline="0" fieldPosition="0">
        <references count="2">
          <reference field="1" count="0"/>
          <reference field="13" count="1" selected="0">
            <x v="0"/>
          </reference>
        </references>
      </pivotArea>
    </format>
    <format dxfId="395">
      <pivotArea dataOnly="0" labelOnly="1" outline="0" fieldPosition="0">
        <references count="2">
          <reference field="1" count="0"/>
          <reference field="13" count="1" selected="0">
            <x v="1"/>
          </reference>
        </references>
      </pivotArea>
    </format>
    <format dxfId="394">
      <pivotArea dataOnly="0" labelOnly="1" outline="0" fieldPosition="0">
        <references count="3">
          <reference field="4294967294" count="2">
            <x v="0"/>
            <x v="1"/>
          </reference>
          <reference field="1" count="1" selected="0">
            <x v="0"/>
          </reference>
          <reference field="13" count="1" selected="0">
            <x v="0"/>
          </reference>
        </references>
      </pivotArea>
    </format>
    <format dxfId="393">
      <pivotArea dataOnly="0" labelOnly="1" outline="0" fieldPosition="0">
        <references count="3">
          <reference field="4294967294" count="2">
            <x v="0"/>
            <x v="1"/>
          </reference>
          <reference field="1" count="1" selected="0">
            <x v="1"/>
          </reference>
          <reference field="13" count="1" selected="0">
            <x v="0"/>
          </reference>
        </references>
      </pivotArea>
    </format>
    <format dxfId="392">
      <pivotArea dataOnly="0" labelOnly="1" outline="0" fieldPosition="0">
        <references count="3">
          <reference field="4294967294" count="2">
            <x v="0"/>
            <x v="1"/>
          </reference>
          <reference field="1" count="1" selected="0">
            <x v="0"/>
          </reference>
          <reference field="13" count="1" selected="0">
            <x v="1"/>
          </reference>
        </references>
      </pivotArea>
    </format>
    <format dxfId="391">
      <pivotArea dataOnly="0" labelOnly="1" outline="0" fieldPosition="0">
        <references count="3">
          <reference field="4294967294" count="2">
            <x v="0"/>
            <x v="1"/>
          </reference>
          <reference field="1" count="1" selected="0">
            <x v="1"/>
          </reference>
          <reference field="13" count="1" selected="0">
            <x v="1"/>
          </reference>
        </references>
      </pivotArea>
    </format>
    <format dxfId="390">
      <pivotArea type="all" dataOnly="0" outline="0" fieldPosition="0"/>
    </format>
    <format dxfId="389">
      <pivotArea outline="0" collapsedLevelsAreSubtotals="1" fieldPosition="0"/>
    </format>
    <format dxfId="388">
      <pivotArea type="origin" dataOnly="0" labelOnly="1" outline="0" fieldPosition="0"/>
    </format>
    <format dxfId="387">
      <pivotArea field="13" type="button" dataOnly="0" labelOnly="1" outline="0" axis="axisCol" fieldPosition="0"/>
    </format>
    <format dxfId="386">
      <pivotArea field="1" type="button" dataOnly="0" labelOnly="1" outline="0" axis="axisCol" fieldPosition="1"/>
    </format>
    <format dxfId="385">
      <pivotArea field="-2" type="button" dataOnly="0" labelOnly="1" outline="0" axis="axisCol" fieldPosition="2"/>
    </format>
    <format dxfId="384">
      <pivotArea type="topRight" dataOnly="0" labelOnly="1" outline="0" fieldPosition="0"/>
    </format>
    <format dxfId="383">
      <pivotArea field="5" type="button" dataOnly="0" labelOnly="1" outline="0" axis="axisRow" fieldPosition="0"/>
    </format>
    <format dxfId="382">
      <pivotArea dataOnly="0" labelOnly="1" outline="0" fieldPosition="0">
        <references count="1">
          <reference field="5" count="0"/>
        </references>
      </pivotArea>
    </format>
    <format dxfId="381">
      <pivotArea dataOnly="0" labelOnly="1" grandRow="1" outline="0" fieldPosition="0"/>
    </format>
    <format dxfId="380">
      <pivotArea dataOnly="0" labelOnly="1" outline="0" fieldPosition="0">
        <references count="1">
          <reference field="13" count="0"/>
        </references>
      </pivotArea>
    </format>
    <format dxfId="379">
      <pivotArea dataOnly="0" labelOnly="1" outline="0" fieldPosition="0">
        <references count="2">
          <reference field="4294967294" count="1" selected="0">
            <x v="0"/>
          </reference>
          <reference field="13" count="0" defaultSubtotal="1"/>
        </references>
      </pivotArea>
    </format>
    <format dxfId="378">
      <pivotArea dataOnly="0" labelOnly="1" outline="0" fieldPosition="0">
        <references count="2">
          <reference field="4294967294" count="1" selected="0">
            <x v="1"/>
          </reference>
          <reference field="13" count="0" defaultSubtotal="1"/>
        </references>
      </pivotArea>
    </format>
    <format dxfId="377">
      <pivotArea field="13" dataOnly="0" labelOnly="1" grandCol="1" outline="0" axis="axisCol" fieldPosition="0">
        <references count="1">
          <reference field="4294967294" count="1" selected="0">
            <x v="0"/>
          </reference>
        </references>
      </pivotArea>
    </format>
    <format dxfId="376">
      <pivotArea field="13" dataOnly="0" labelOnly="1" grandCol="1" outline="0" axis="axisCol" fieldPosition="0">
        <references count="1">
          <reference field="4294967294" count="1" selected="0">
            <x v="1"/>
          </reference>
        </references>
      </pivotArea>
    </format>
    <format dxfId="375">
      <pivotArea dataOnly="0" labelOnly="1" outline="0" fieldPosition="0">
        <references count="2">
          <reference field="1" count="0"/>
          <reference field="13" count="1" selected="0">
            <x v="0"/>
          </reference>
        </references>
      </pivotArea>
    </format>
    <format dxfId="374">
      <pivotArea dataOnly="0" labelOnly="1" outline="0" fieldPosition="0">
        <references count="2">
          <reference field="1" count="0"/>
          <reference field="13" count="1" selected="0">
            <x v="1"/>
          </reference>
        </references>
      </pivotArea>
    </format>
    <format dxfId="373">
      <pivotArea dataOnly="0" labelOnly="1" outline="0" fieldPosition="0">
        <references count="3">
          <reference field="4294967294" count="2">
            <x v="0"/>
            <x v="1"/>
          </reference>
          <reference field="1" count="1" selected="0">
            <x v="0"/>
          </reference>
          <reference field="13" count="1" selected="0">
            <x v="0"/>
          </reference>
        </references>
      </pivotArea>
    </format>
    <format dxfId="372">
      <pivotArea dataOnly="0" labelOnly="1" outline="0" fieldPosition="0">
        <references count="3">
          <reference field="4294967294" count="2">
            <x v="0"/>
            <x v="1"/>
          </reference>
          <reference field="1" count="1" selected="0">
            <x v="1"/>
          </reference>
          <reference field="13" count="1" selected="0">
            <x v="0"/>
          </reference>
        </references>
      </pivotArea>
    </format>
    <format dxfId="371">
      <pivotArea dataOnly="0" labelOnly="1" outline="0" fieldPosition="0">
        <references count="3">
          <reference field="4294967294" count="2">
            <x v="0"/>
            <x v="1"/>
          </reference>
          <reference field="1" count="1" selected="0">
            <x v="0"/>
          </reference>
          <reference field="13" count="1" selected="0">
            <x v="1"/>
          </reference>
        </references>
      </pivotArea>
    </format>
    <format dxfId="370">
      <pivotArea dataOnly="0" labelOnly="1" outline="0" fieldPosition="0">
        <references count="3">
          <reference field="4294967294" count="2">
            <x v="0"/>
            <x v="1"/>
          </reference>
          <reference field="1" count="1" selected="0">
            <x v="1"/>
          </reference>
          <reference field="1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63B7224F-AD58-8148-B4E1-E5D17D5F7C26}" name="Tableau croisé dynamique44"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L65:O69"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axis="axisRow" compact="0" outline="0" subtotalTop="0" showAll="0" includeNewItemsInFilter="1" sortType="ascending" defaultSubtotal="0">
      <items count="2">
        <item x="1"/>
        <item x="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5"/>
  </rowFields>
  <rowItems count="3">
    <i>
      <x/>
    </i>
    <i>
      <x v="1"/>
    </i>
    <i t="grand">
      <x/>
    </i>
  </rowItems>
  <colFields count="1">
    <field x="1"/>
  </colFields>
  <colItems count="3">
    <i>
      <x v="1"/>
    </i>
    <i>
      <x v="2"/>
    </i>
    <i t="grand">
      <x/>
    </i>
  </colItems>
  <dataFields count="1">
    <dataField name="NB sur NOM" fld="0" subtotal="count" showDataAs="percentOfRow" baseField="0" baseItem="0" numFmtId="9"/>
  </dataFields>
  <formats count="26">
    <format dxfId="470">
      <pivotArea field="1" grandRow="1" outline="0" axis="axisCol" fieldPosition="0">
        <references count="1">
          <reference field="1" count="2" selected="0">
            <x v="1"/>
            <x v="2"/>
          </reference>
        </references>
      </pivotArea>
    </format>
    <format dxfId="469">
      <pivotArea field="1" grandRow="1" outline="0" axis="axisCol" fieldPosition="0">
        <references count="1">
          <reference field="1" count="2" selected="0">
            <x v="1"/>
            <x v="2"/>
          </reference>
        </references>
      </pivotArea>
    </format>
    <format dxfId="468">
      <pivotArea field="1" grandRow="1" outline="0" axis="axisCol" fieldPosition="0">
        <references count="1">
          <reference field="1" count="2" selected="0">
            <x v="1"/>
            <x v="2"/>
          </reference>
        </references>
      </pivotArea>
    </format>
    <format dxfId="467">
      <pivotArea field="1" grandRow="1" outline="0" axis="axisCol" fieldPosition="0">
        <references count="1">
          <reference field="1" count="2" selected="0">
            <x v="1"/>
            <x v="2"/>
          </reference>
        </references>
      </pivotArea>
    </format>
    <format dxfId="466">
      <pivotArea outline="0" fieldPosition="0">
        <references count="1">
          <reference field="1" count="2" selected="0">
            <x v="1"/>
            <x v="2"/>
          </reference>
        </references>
      </pivotArea>
    </format>
    <format dxfId="465">
      <pivotArea type="all" dataOnly="0" outline="0" fieldPosition="0"/>
    </format>
    <format dxfId="464">
      <pivotArea type="all" dataOnly="0" outline="0" fieldPosition="0"/>
    </format>
    <format dxfId="463">
      <pivotArea outline="0" collapsedLevelsAreSubtotals="1" fieldPosition="0"/>
    </format>
    <format dxfId="462">
      <pivotArea type="origin" dataOnly="0" labelOnly="1" outline="0" fieldPosition="0"/>
    </format>
    <format dxfId="461">
      <pivotArea field="1" type="button" dataOnly="0" labelOnly="1" outline="0" axis="axisCol" fieldPosition="0"/>
    </format>
    <format dxfId="460">
      <pivotArea type="topRight" dataOnly="0" labelOnly="1" outline="0" fieldPosition="0"/>
    </format>
    <format dxfId="459">
      <pivotArea field="15" type="button" dataOnly="0" labelOnly="1" outline="0" axis="axisRow" fieldPosition="0"/>
    </format>
    <format dxfId="458">
      <pivotArea dataOnly="0" labelOnly="1" outline="0" fieldPosition="0">
        <references count="1">
          <reference field="15" count="0"/>
        </references>
      </pivotArea>
    </format>
    <format dxfId="457">
      <pivotArea dataOnly="0" labelOnly="1" grandRow="1" outline="0" fieldPosition="0"/>
    </format>
    <format dxfId="456">
      <pivotArea dataOnly="0" labelOnly="1" outline="0" fieldPosition="0">
        <references count="1">
          <reference field="1" count="0"/>
        </references>
      </pivotArea>
    </format>
    <format dxfId="455">
      <pivotArea dataOnly="0" labelOnly="1" grandCol="1" outline="0" fieldPosition="0"/>
    </format>
    <format dxfId="454">
      <pivotArea type="all" dataOnly="0" outline="0" fieldPosition="0"/>
    </format>
    <format dxfId="453">
      <pivotArea outline="0" collapsedLevelsAreSubtotals="1" fieldPosition="0"/>
    </format>
    <format dxfId="452">
      <pivotArea type="origin" dataOnly="0" labelOnly="1" outline="0" fieldPosition="0"/>
    </format>
    <format dxfId="451">
      <pivotArea field="1" type="button" dataOnly="0" labelOnly="1" outline="0" axis="axisCol" fieldPosition="0"/>
    </format>
    <format dxfId="450">
      <pivotArea type="topRight" dataOnly="0" labelOnly="1" outline="0" fieldPosition="0"/>
    </format>
    <format dxfId="449">
      <pivotArea field="15" type="button" dataOnly="0" labelOnly="1" outline="0" axis="axisRow" fieldPosition="0"/>
    </format>
    <format dxfId="448">
      <pivotArea dataOnly="0" labelOnly="1" outline="0" fieldPosition="0">
        <references count="1">
          <reference field="15" count="0"/>
        </references>
      </pivotArea>
    </format>
    <format dxfId="447">
      <pivotArea dataOnly="0" labelOnly="1" grandRow="1" outline="0" fieldPosition="0"/>
    </format>
    <format dxfId="446">
      <pivotArea dataOnly="0" labelOnly="1" outline="0" fieldPosition="0">
        <references count="1">
          <reference field="1" count="0"/>
        </references>
      </pivotArea>
    </format>
    <format dxfId="445">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8F58CEFA-FFCB-7946-9FC7-FB0F3ACA1B07}" name="Tableau croisé dynamique48"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L109:O113"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axis="axisRow" compact="0" outline="0" subtotalTop="0" showAll="0" includeNewItemsInFilter="1" defaultSubtotal="0">
      <items count="2">
        <item x="1"/>
        <item x="0"/>
      </items>
    </pivotField>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4"/>
  </rowFields>
  <rowItems count="3">
    <i>
      <x/>
    </i>
    <i>
      <x v="1"/>
    </i>
    <i t="grand">
      <x/>
    </i>
  </rowItems>
  <colFields count="1">
    <field x="1"/>
  </colFields>
  <colItems count="3">
    <i>
      <x v="1"/>
    </i>
    <i>
      <x v="2"/>
    </i>
    <i t="grand">
      <x/>
    </i>
  </colItems>
  <dataFields count="1">
    <dataField name="NB sur NOM" fld="0" subtotal="count" showDataAs="percentOfRow" baseField="0" baseItem="0" numFmtId="9"/>
  </dataFields>
  <formats count="26">
    <format dxfId="496">
      <pivotArea field="1" grandRow="1" outline="0" axis="axisCol" fieldPosition="0">
        <references count="1">
          <reference field="1" count="2" selected="0">
            <x v="1"/>
            <x v="2"/>
          </reference>
        </references>
      </pivotArea>
    </format>
    <format dxfId="495">
      <pivotArea field="1" grandRow="1" outline="0" axis="axisCol" fieldPosition="0">
        <references count="1">
          <reference field="1" count="2" selected="0">
            <x v="1"/>
            <x v="2"/>
          </reference>
        </references>
      </pivotArea>
    </format>
    <format dxfId="494">
      <pivotArea field="1" grandRow="1" outline="0" axis="axisCol" fieldPosition="0">
        <references count="1">
          <reference field="1" count="2" selected="0">
            <x v="1"/>
            <x v="2"/>
          </reference>
        </references>
      </pivotArea>
    </format>
    <format dxfId="493">
      <pivotArea field="1" grandRow="1" outline="0" axis="axisCol" fieldPosition="0">
        <references count="1">
          <reference field="1" count="2" selected="0">
            <x v="1"/>
            <x v="2"/>
          </reference>
        </references>
      </pivotArea>
    </format>
    <format dxfId="492">
      <pivotArea outline="0" fieldPosition="0">
        <references count="1">
          <reference field="1" count="2" selected="0">
            <x v="1"/>
            <x v="2"/>
          </reference>
        </references>
      </pivotArea>
    </format>
    <format dxfId="491">
      <pivotArea type="all" dataOnly="0" outline="0" fieldPosition="0"/>
    </format>
    <format dxfId="490">
      <pivotArea type="all" dataOnly="0" outline="0" fieldPosition="0"/>
    </format>
    <format dxfId="489">
      <pivotArea outline="0" collapsedLevelsAreSubtotals="1" fieldPosition="0"/>
    </format>
    <format dxfId="488">
      <pivotArea type="origin" dataOnly="0" labelOnly="1" outline="0" fieldPosition="0"/>
    </format>
    <format dxfId="487">
      <pivotArea field="1" type="button" dataOnly="0" labelOnly="1" outline="0" axis="axisCol" fieldPosition="0"/>
    </format>
    <format dxfId="486">
      <pivotArea type="topRight" dataOnly="0" labelOnly="1" outline="0" fieldPosition="0"/>
    </format>
    <format dxfId="485">
      <pivotArea field="24" type="button" dataOnly="0" labelOnly="1" outline="0" axis="axisRow" fieldPosition="0"/>
    </format>
    <format dxfId="484">
      <pivotArea dataOnly="0" labelOnly="1" outline="0" fieldPosition="0">
        <references count="1">
          <reference field="24" count="0"/>
        </references>
      </pivotArea>
    </format>
    <format dxfId="483">
      <pivotArea dataOnly="0" labelOnly="1" grandRow="1" outline="0" fieldPosition="0"/>
    </format>
    <format dxfId="482">
      <pivotArea dataOnly="0" labelOnly="1" outline="0" fieldPosition="0">
        <references count="1">
          <reference field="1" count="0"/>
        </references>
      </pivotArea>
    </format>
    <format dxfId="481">
      <pivotArea dataOnly="0" labelOnly="1" grandCol="1" outline="0" fieldPosition="0"/>
    </format>
    <format dxfId="480">
      <pivotArea type="all" dataOnly="0" outline="0" fieldPosition="0"/>
    </format>
    <format dxfId="479">
      <pivotArea outline="0" collapsedLevelsAreSubtotals="1" fieldPosition="0"/>
    </format>
    <format dxfId="478">
      <pivotArea type="origin" dataOnly="0" labelOnly="1" outline="0" fieldPosition="0"/>
    </format>
    <format dxfId="477">
      <pivotArea field="1" type="button" dataOnly="0" labelOnly="1" outline="0" axis="axisCol" fieldPosition="0"/>
    </format>
    <format dxfId="476">
      <pivotArea type="topRight" dataOnly="0" labelOnly="1" outline="0" fieldPosition="0"/>
    </format>
    <format dxfId="475">
      <pivotArea field="24" type="button" dataOnly="0" labelOnly="1" outline="0" axis="axisRow" fieldPosition="0"/>
    </format>
    <format dxfId="474">
      <pivotArea dataOnly="0" labelOnly="1" outline="0" fieldPosition="0">
        <references count="1">
          <reference field="24" count="0"/>
        </references>
      </pivotArea>
    </format>
    <format dxfId="473">
      <pivotArea dataOnly="0" labelOnly="1" grandRow="1" outline="0" fieldPosition="0"/>
    </format>
    <format dxfId="472">
      <pivotArea dataOnly="0" labelOnly="1" outline="0" fieldPosition="0">
        <references count="1">
          <reference field="1" count="0"/>
        </references>
      </pivotArea>
    </format>
    <format dxfId="471">
      <pivotArea dataOnly="0" labelOnly="1" grandCol="1" outline="0" fieldPosition="0"/>
    </format>
  </formats>
  <chartFormats count="2">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F62817E8-A9B1-F440-A4C5-647890037E8A}" name="Tableau croisé dynamique45"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65:G69"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axis="axisRow" compact="0" outline="0" subtotalTop="0" showAll="0" includeNewItemsInFilter="1" sortType="ascending" defaultSubtotal="0">
      <items count="2">
        <item x="1"/>
        <item x="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5"/>
  </rowFields>
  <rowItems count="3">
    <i>
      <x/>
    </i>
    <i>
      <x v="1"/>
    </i>
    <i t="grand">
      <x/>
    </i>
  </rowItems>
  <colFields count="1">
    <field x="1"/>
  </colFields>
  <colItems count="3">
    <i>
      <x v="1"/>
    </i>
    <i>
      <x v="2"/>
    </i>
    <i t="grand">
      <x/>
    </i>
  </colItems>
  <dataFields count="1">
    <dataField name="NB sur NOM" fld="0" subtotal="count" baseField="0" baseItem="0"/>
  </dataFields>
  <formats count="29">
    <format dxfId="525">
      <pivotArea field="1" grandRow="1" outline="0" axis="axisCol" fieldPosition="0">
        <references count="1">
          <reference field="1" count="2" selected="0">
            <x v="1"/>
            <x v="2"/>
          </reference>
        </references>
      </pivotArea>
    </format>
    <format dxfId="524">
      <pivotArea grandRow="1" grandCol="1" outline="0" fieldPosition="0"/>
    </format>
    <format dxfId="523">
      <pivotArea outline="0" fieldPosition="0"/>
    </format>
    <format dxfId="522">
      <pivotArea type="all" dataOnly="0" outline="0" fieldPosition="0"/>
    </format>
    <format dxfId="521">
      <pivotArea type="all" dataOnly="0" outline="0" fieldPosition="0"/>
    </format>
    <format dxfId="520">
      <pivotArea type="all" dataOnly="0" outline="0" fieldPosition="0"/>
    </format>
    <format dxfId="519">
      <pivotArea type="all" dataOnly="0" outline="0" fieldPosition="0"/>
    </format>
    <format dxfId="518">
      <pivotArea type="all" dataOnly="0" outline="0" fieldPosition="0"/>
    </format>
    <format dxfId="517">
      <pivotArea type="all" dataOnly="0" outline="0" fieldPosition="0"/>
    </format>
    <format dxfId="516">
      <pivotArea type="all" dataOnly="0" outline="0" fieldPosition="0"/>
    </format>
    <format dxfId="515">
      <pivotArea outline="0" collapsedLevelsAreSubtotals="1" fieldPosition="0"/>
    </format>
    <format dxfId="514">
      <pivotArea type="origin" dataOnly="0" labelOnly="1" outline="0" fieldPosition="0"/>
    </format>
    <format dxfId="513">
      <pivotArea field="1" type="button" dataOnly="0" labelOnly="1" outline="0" axis="axisCol" fieldPosition="0"/>
    </format>
    <format dxfId="512">
      <pivotArea type="topRight" dataOnly="0" labelOnly="1" outline="0" fieldPosition="0"/>
    </format>
    <format dxfId="511">
      <pivotArea field="15" type="button" dataOnly="0" labelOnly="1" outline="0" axis="axisRow" fieldPosition="0"/>
    </format>
    <format dxfId="510">
      <pivotArea dataOnly="0" labelOnly="1" outline="0" fieldPosition="0">
        <references count="1">
          <reference field="15" count="0"/>
        </references>
      </pivotArea>
    </format>
    <format dxfId="509">
      <pivotArea dataOnly="0" labelOnly="1" grandRow="1" outline="0" fieldPosition="0"/>
    </format>
    <format dxfId="508">
      <pivotArea dataOnly="0" labelOnly="1" outline="0" fieldPosition="0">
        <references count="1">
          <reference field="1" count="0"/>
        </references>
      </pivotArea>
    </format>
    <format dxfId="507">
      <pivotArea dataOnly="0" labelOnly="1" grandCol="1" outline="0" fieldPosition="0"/>
    </format>
    <format dxfId="506">
      <pivotArea type="all" dataOnly="0" outline="0" fieldPosition="0"/>
    </format>
    <format dxfId="505">
      <pivotArea outline="0" collapsedLevelsAreSubtotals="1" fieldPosition="0"/>
    </format>
    <format dxfId="504">
      <pivotArea type="origin" dataOnly="0" labelOnly="1" outline="0" fieldPosition="0"/>
    </format>
    <format dxfId="503">
      <pivotArea field="1" type="button" dataOnly="0" labelOnly="1" outline="0" axis="axisCol" fieldPosition="0"/>
    </format>
    <format dxfId="502">
      <pivotArea type="topRight" dataOnly="0" labelOnly="1" outline="0" fieldPosition="0"/>
    </format>
    <format dxfId="501">
      <pivotArea field="15" type="button" dataOnly="0" labelOnly="1" outline="0" axis="axisRow" fieldPosition="0"/>
    </format>
    <format dxfId="500">
      <pivotArea dataOnly="0" labelOnly="1" outline="0" fieldPosition="0">
        <references count="1">
          <reference field="15" count="0"/>
        </references>
      </pivotArea>
    </format>
    <format dxfId="499">
      <pivotArea dataOnly="0" labelOnly="1" grandRow="1" outline="0" fieldPosition="0"/>
    </format>
    <format dxfId="498">
      <pivotArea dataOnly="0" labelOnly="1" outline="0" fieldPosition="0">
        <references count="1">
          <reference field="1" count="0"/>
        </references>
      </pivotArea>
    </format>
    <format dxfId="497">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E82C03E7-6520-1D42-B2DC-D3A9420DA1CD}" name="Tableau croisé dynamique2"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S26:V30" firstHeaderRow="1" firstDataRow="2" firstDataCol="1"/>
  <pivotFields count="36">
    <pivotField dataField="1" compact="0" outline="0" subtotalTop="0" showAll="0" includeNewItemsInFilter="1"/>
    <pivotField axis="axisRow" compact="0" outline="0" subtotalTop="0" showAll="0" includeNewItemsInFilter="1">
      <items count="4">
        <item x="1"/>
        <item x="0"/>
        <item m="1" x="2"/>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axis="axisCol"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
  </rowFields>
  <rowItems count="3">
    <i>
      <x/>
    </i>
    <i>
      <x v="1"/>
    </i>
    <i t="grand">
      <x/>
    </i>
  </rowItems>
  <colFields count="1">
    <field x="13"/>
  </colFields>
  <colItems count="3">
    <i>
      <x/>
    </i>
    <i>
      <x v="1"/>
    </i>
    <i t="grand">
      <x/>
    </i>
  </colItems>
  <dataFields count="1">
    <dataField name="NB sur NOM" fld="0" subtotal="count" showDataAs="percentOfRow" baseField="0" baseItem="0" numFmtId="9"/>
  </dataFields>
  <formats count="21">
    <format dxfId="546">
      <pivotArea type="all" dataOnly="0" outline="0" fieldPosition="0"/>
    </format>
    <format dxfId="545">
      <pivotArea type="all" dataOnly="0" outline="0" fieldPosition="0"/>
    </format>
    <format dxfId="544">
      <pivotArea outline="0" collapsedLevelsAreSubtotals="1" fieldPosition="0"/>
    </format>
    <format dxfId="543">
      <pivotArea type="origin" dataOnly="0" labelOnly="1" outline="0" fieldPosition="0"/>
    </format>
    <format dxfId="542">
      <pivotArea field="13" type="button" dataOnly="0" labelOnly="1" outline="0" axis="axisCol" fieldPosition="0"/>
    </format>
    <format dxfId="541">
      <pivotArea type="topRight" dataOnly="0" labelOnly="1" outline="0" fieldPosition="0"/>
    </format>
    <format dxfId="540">
      <pivotArea field="1" type="button" dataOnly="0" labelOnly="1" outline="0" axis="axisRow" fieldPosition="0"/>
    </format>
    <format dxfId="539">
      <pivotArea dataOnly="0" labelOnly="1" outline="0" fieldPosition="0">
        <references count="1">
          <reference field="1" count="0"/>
        </references>
      </pivotArea>
    </format>
    <format dxfId="538">
      <pivotArea dataOnly="0" labelOnly="1" grandRow="1" outline="0" fieldPosition="0"/>
    </format>
    <format dxfId="537">
      <pivotArea dataOnly="0" labelOnly="1" outline="0" fieldPosition="0">
        <references count="1">
          <reference field="13" count="0"/>
        </references>
      </pivotArea>
    </format>
    <format dxfId="536">
      <pivotArea dataOnly="0" labelOnly="1" grandCol="1" outline="0" fieldPosition="0"/>
    </format>
    <format dxfId="535">
      <pivotArea type="all" dataOnly="0" outline="0" fieldPosition="0"/>
    </format>
    <format dxfId="534">
      <pivotArea outline="0" collapsedLevelsAreSubtotals="1" fieldPosition="0"/>
    </format>
    <format dxfId="533">
      <pivotArea type="origin" dataOnly="0" labelOnly="1" outline="0" fieldPosition="0"/>
    </format>
    <format dxfId="532">
      <pivotArea field="13" type="button" dataOnly="0" labelOnly="1" outline="0" axis="axisCol" fieldPosition="0"/>
    </format>
    <format dxfId="531">
      <pivotArea type="topRight" dataOnly="0" labelOnly="1" outline="0" fieldPosition="0"/>
    </format>
    <format dxfId="530">
      <pivotArea field="1" type="button" dataOnly="0" labelOnly="1" outline="0" axis="axisRow" fieldPosition="0"/>
    </format>
    <format dxfId="529">
      <pivotArea dataOnly="0" labelOnly="1" outline="0" fieldPosition="0">
        <references count="1">
          <reference field="1" count="0"/>
        </references>
      </pivotArea>
    </format>
    <format dxfId="528">
      <pivotArea dataOnly="0" labelOnly="1" grandRow="1" outline="0" fieldPosition="0"/>
    </format>
    <format dxfId="527">
      <pivotArea dataOnly="0" labelOnly="1" outline="0" fieldPosition="0">
        <references count="1">
          <reference field="13" count="0"/>
        </references>
      </pivotArea>
    </format>
    <format dxfId="526">
      <pivotArea dataOnly="0" labelOnly="1" grandCol="1" outline="0" fieldPosition="0"/>
    </format>
  </formats>
  <chartFormats count="2">
    <chartFormat chart="0" format="10" series="1">
      <pivotArea type="data" outline="0" fieldPosition="0">
        <references count="2">
          <reference field="4294967294" count="1" selected="0">
            <x v="0"/>
          </reference>
          <reference field="13" count="1" selected="0">
            <x v="0"/>
          </reference>
        </references>
      </pivotArea>
    </chartFormat>
    <chartFormat chart="0" format="11" series="1">
      <pivotArea type="data" outline="0" fieldPosition="0">
        <references count="2">
          <reference field="4294967294" count="1" selected="0">
            <x v="0"/>
          </reference>
          <reference field="13"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1E155821-7B7D-3D4E-B55F-C2CE53AFF789}" name="Tableau croisé dynamique6"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26:G30"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axis="axisRow" compact="0" outline="0" subtotalTop="0" showAll="0" includeNewItemsInFilter="1" sortType="ascending">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13"/>
  </rowFields>
  <rowItems count="3">
    <i>
      <x/>
    </i>
    <i>
      <x v="1"/>
    </i>
    <i t="grand">
      <x/>
    </i>
  </rowItems>
  <colFields count="1">
    <field x="1"/>
  </colFields>
  <colItems count="3">
    <i>
      <x v="1"/>
    </i>
    <i>
      <x v="2"/>
    </i>
    <i t="grand">
      <x/>
    </i>
  </colItems>
  <dataFields count="1">
    <dataField name="NB sur NOM" fld="0" subtotal="count" baseField="0" baseItem="0"/>
  </dataFields>
  <formats count="29">
    <format dxfId="575">
      <pivotArea field="1" grandRow="1" outline="0" axis="axisCol" fieldPosition="0">
        <references count="1">
          <reference field="1" count="2" selected="0">
            <x v="1"/>
            <x v="2"/>
          </reference>
        </references>
      </pivotArea>
    </format>
    <format dxfId="574">
      <pivotArea grandRow="1" grandCol="1" outline="0" fieldPosition="0"/>
    </format>
    <format dxfId="573">
      <pivotArea outline="0" fieldPosition="0"/>
    </format>
    <format dxfId="572">
      <pivotArea type="all" dataOnly="0" outline="0" fieldPosition="0"/>
    </format>
    <format dxfId="571">
      <pivotArea type="all" dataOnly="0" outline="0" fieldPosition="0"/>
    </format>
    <format dxfId="570">
      <pivotArea type="all" dataOnly="0" outline="0" fieldPosition="0"/>
    </format>
    <format dxfId="569">
      <pivotArea type="all" dataOnly="0" outline="0" fieldPosition="0"/>
    </format>
    <format dxfId="568">
      <pivotArea type="all" dataOnly="0" outline="0" fieldPosition="0"/>
    </format>
    <format dxfId="567">
      <pivotArea type="all" dataOnly="0" outline="0" fieldPosition="0"/>
    </format>
    <format dxfId="566">
      <pivotArea type="all" dataOnly="0" outline="0" fieldPosition="0"/>
    </format>
    <format dxfId="565">
      <pivotArea outline="0" collapsedLevelsAreSubtotals="1" fieldPosition="0"/>
    </format>
    <format dxfId="564">
      <pivotArea type="origin" dataOnly="0" labelOnly="1" outline="0" fieldPosition="0"/>
    </format>
    <format dxfId="563">
      <pivotArea field="1" type="button" dataOnly="0" labelOnly="1" outline="0" axis="axisCol" fieldPosition="0"/>
    </format>
    <format dxfId="562">
      <pivotArea type="topRight" dataOnly="0" labelOnly="1" outline="0" fieldPosition="0"/>
    </format>
    <format dxfId="561">
      <pivotArea field="13" type="button" dataOnly="0" labelOnly="1" outline="0" axis="axisRow" fieldPosition="0"/>
    </format>
    <format dxfId="560">
      <pivotArea dataOnly="0" labelOnly="1" outline="0" fieldPosition="0">
        <references count="1">
          <reference field="13" count="0"/>
        </references>
      </pivotArea>
    </format>
    <format dxfId="559">
      <pivotArea dataOnly="0" labelOnly="1" grandRow="1" outline="0" fieldPosition="0"/>
    </format>
    <format dxfId="558">
      <pivotArea dataOnly="0" labelOnly="1" outline="0" fieldPosition="0">
        <references count="1">
          <reference field="1" count="0"/>
        </references>
      </pivotArea>
    </format>
    <format dxfId="557">
      <pivotArea dataOnly="0" labelOnly="1" grandCol="1" outline="0" fieldPosition="0"/>
    </format>
    <format dxfId="556">
      <pivotArea type="all" dataOnly="0" outline="0" fieldPosition="0"/>
    </format>
    <format dxfId="555">
      <pivotArea outline="0" collapsedLevelsAreSubtotals="1" fieldPosition="0"/>
    </format>
    <format dxfId="554">
      <pivotArea type="origin" dataOnly="0" labelOnly="1" outline="0" fieldPosition="0"/>
    </format>
    <format dxfId="553">
      <pivotArea field="1" type="button" dataOnly="0" labelOnly="1" outline="0" axis="axisCol" fieldPosition="0"/>
    </format>
    <format dxfId="552">
      <pivotArea type="topRight" dataOnly="0" labelOnly="1" outline="0" fieldPosition="0"/>
    </format>
    <format dxfId="551">
      <pivotArea field="13" type="button" dataOnly="0" labelOnly="1" outline="0" axis="axisRow" fieldPosition="0"/>
    </format>
    <format dxfId="550">
      <pivotArea dataOnly="0" labelOnly="1" outline="0" fieldPosition="0">
        <references count="1">
          <reference field="13" count="0"/>
        </references>
      </pivotArea>
    </format>
    <format dxfId="549">
      <pivotArea dataOnly="0" labelOnly="1" grandRow="1" outline="0" fieldPosition="0"/>
    </format>
    <format dxfId="548">
      <pivotArea dataOnly="0" labelOnly="1" outline="0" fieldPosition="0">
        <references count="1">
          <reference field="1" count="0"/>
        </references>
      </pivotArea>
    </format>
    <format dxfId="547">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558AA08-B455-0D44-8E9B-99075E310A36}" name="Tableau croisé dynamique8"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S38:S40" firstHeaderRow="0" firstDataRow="0" firstDataCol="1"/>
  <pivotFields count="36">
    <pivotField showAll="0"/>
    <pivotField showAll="0"/>
    <pivotField numFmtId="14" showAll="0"/>
    <pivotField numFmtId="14"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12"/>
  </rowFields>
  <rowItems count="3">
    <i>
      <x/>
    </i>
    <i>
      <x v="1"/>
    </i>
    <i>
      <x v="2"/>
    </i>
  </rowItems>
  <colItems count="1">
    <i/>
  </colItems>
  <formats count="1">
    <format dxfId="1754">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BCC91BF2-E347-CB40-9297-80803957AE77}" name="Tableau croisé dynamique49" cacheId="164" dataOnRows="1" autoFormatId="0" applyNumberFormats="0" applyBorderFormats="0" applyFontFormats="0" applyPatternFormats="0" applyAlignmentFormats="0" applyWidthHeightFormats="1" dataCaption="Données" updatedVersion="6" minRefreshableVersion="3" showMultipleLabel="0" showMemberPropertyTips="0" createdVersion="6" indent="0" compact="0" compactData="0" gridDropZones="1" chartFormat="1">
  <location ref="D109:G113"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compact="0" outline="0" subtotalTop="0" showAll="0" includeNewItemsInFilter="1" defaultSubtotal="0"/>
    <pivotField axis="axisRow" compact="0" outline="0" subtotalTop="0" showAll="0" includeNewItemsInFilter="1" sortType="ascending" defaultSubtotal="0">
      <items count="2">
        <item x="1"/>
        <item x="0"/>
      </items>
    </pivotField>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4"/>
  </rowFields>
  <rowItems count="3">
    <i>
      <x/>
    </i>
    <i>
      <x v="1"/>
    </i>
    <i t="grand">
      <x/>
    </i>
  </rowItems>
  <colFields count="1">
    <field x="1"/>
  </colFields>
  <colItems count="3">
    <i>
      <x v="1"/>
    </i>
    <i>
      <x v="2"/>
    </i>
    <i t="grand">
      <x/>
    </i>
  </colItems>
  <dataFields count="1">
    <dataField name="NB sur NOM" fld="0" subtotal="count" baseField="0" baseItem="0"/>
  </dataFields>
  <formats count="29">
    <format dxfId="604">
      <pivotArea field="1" grandRow="1" outline="0" axis="axisCol" fieldPosition="0">
        <references count="1">
          <reference field="1" count="2" selected="0">
            <x v="1"/>
            <x v="2"/>
          </reference>
        </references>
      </pivotArea>
    </format>
    <format dxfId="603">
      <pivotArea grandRow="1" grandCol="1" outline="0" fieldPosition="0"/>
    </format>
    <format dxfId="602">
      <pivotArea outline="0" fieldPosition="0"/>
    </format>
    <format dxfId="601">
      <pivotArea type="all" dataOnly="0" outline="0" fieldPosition="0"/>
    </format>
    <format dxfId="600">
      <pivotArea type="all" dataOnly="0" outline="0" fieldPosition="0"/>
    </format>
    <format dxfId="599">
      <pivotArea type="all" dataOnly="0" outline="0" fieldPosition="0"/>
    </format>
    <format dxfId="598">
      <pivotArea type="all" dataOnly="0" outline="0" fieldPosition="0"/>
    </format>
    <format dxfId="597">
      <pivotArea type="all" dataOnly="0" outline="0" fieldPosition="0"/>
    </format>
    <format dxfId="596">
      <pivotArea type="all" dataOnly="0" outline="0" fieldPosition="0"/>
    </format>
    <format dxfId="595">
      <pivotArea type="all" dataOnly="0" outline="0" fieldPosition="0"/>
    </format>
    <format dxfId="594">
      <pivotArea outline="0" collapsedLevelsAreSubtotals="1" fieldPosition="0"/>
    </format>
    <format dxfId="593">
      <pivotArea type="origin" dataOnly="0" labelOnly="1" outline="0" fieldPosition="0"/>
    </format>
    <format dxfId="592">
      <pivotArea field="1" type="button" dataOnly="0" labelOnly="1" outline="0" axis="axisCol" fieldPosition="0"/>
    </format>
    <format dxfId="591">
      <pivotArea type="topRight" dataOnly="0" labelOnly="1" outline="0" fieldPosition="0"/>
    </format>
    <format dxfId="590">
      <pivotArea field="24" type="button" dataOnly="0" labelOnly="1" outline="0" axis="axisRow" fieldPosition="0"/>
    </format>
    <format dxfId="589">
      <pivotArea dataOnly="0" labelOnly="1" outline="0" fieldPosition="0">
        <references count="1">
          <reference field="24" count="0"/>
        </references>
      </pivotArea>
    </format>
    <format dxfId="588">
      <pivotArea dataOnly="0" labelOnly="1" grandRow="1" outline="0" fieldPosition="0"/>
    </format>
    <format dxfId="587">
      <pivotArea dataOnly="0" labelOnly="1" outline="0" fieldPosition="0">
        <references count="1">
          <reference field="1" count="0"/>
        </references>
      </pivotArea>
    </format>
    <format dxfId="586">
      <pivotArea dataOnly="0" labelOnly="1" grandCol="1" outline="0" fieldPosition="0"/>
    </format>
    <format dxfId="585">
      <pivotArea type="all" dataOnly="0" outline="0" fieldPosition="0"/>
    </format>
    <format dxfId="584">
      <pivotArea outline="0" collapsedLevelsAreSubtotals="1" fieldPosition="0"/>
    </format>
    <format dxfId="583">
      <pivotArea type="origin" dataOnly="0" labelOnly="1" outline="0" fieldPosition="0"/>
    </format>
    <format dxfId="582">
      <pivotArea field="1" type="button" dataOnly="0" labelOnly="1" outline="0" axis="axisCol" fieldPosition="0"/>
    </format>
    <format dxfId="581">
      <pivotArea type="topRight" dataOnly="0" labelOnly="1" outline="0" fieldPosition="0"/>
    </format>
    <format dxfId="580">
      <pivotArea field="24" type="button" dataOnly="0" labelOnly="1" outline="0" axis="axisRow" fieldPosition="0"/>
    </format>
    <format dxfId="579">
      <pivotArea dataOnly="0" labelOnly="1" outline="0" fieldPosition="0">
        <references count="1">
          <reference field="24" count="0"/>
        </references>
      </pivotArea>
    </format>
    <format dxfId="578">
      <pivotArea dataOnly="0" labelOnly="1" grandRow="1" outline="0" fieldPosition="0"/>
    </format>
    <format dxfId="577">
      <pivotArea dataOnly="0" labelOnly="1" outline="0" fieldPosition="0">
        <references count="1">
          <reference field="1" count="0"/>
        </references>
      </pivotArea>
    </format>
    <format dxfId="576">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D650151F-584D-E542-976B-273B91DBFBD9}" name="Tableau croisé dynamique52" cacheId="164" dataOnRows="1" autoFormatId="0" applyNumberFormats="0" applyBorderFormats="0" applyFontFormats="0" applyPatternFormats="0" applyAlignmentFormats="0" applyWidthHeightFormats="1" dataCaption="Données" updatedVersion="6" minRefreshableVersion="3" showMultipleLabel="0" showMemberPropertyTips="0" useAutoFormatting="1" createdVersion="6" indent="0" compact="0" compactData="0" gridDropZones="1" chartFormat="1">
  <location ref="D152:G156" firstHeaderRow="1" firstDataRow="2" firstDataCol="1"/>
  <pivotFields count="36">
    <pivotField dataField="1" compact="0" outline="0" subtotalTop="0" showAll="0" includeNewItemsInFilter="1"/>
    <pivotField axis="axisCol" compact="0" outline="0" subtotalTop="0" showAll="0" includeNewItemsInFilter="1" sortType="descending">
      <items count="4">
        <item m="1" x="2"/>
        <item x="0"/>
        <item x="1"/>
        <item t="default"/>
      </items>
    </pivotField>
    <pivotField compact="0" outline="0" subtotalTop="0" showAll="0" includeNewItemsInFilter="1"/>
    <pivotField compact="0" outline="0" subtotalTop="0" showAll="0" includeNewItemsInFilter="1"/>
    <pivotField compact="0" outline="0" subtotalTop="0" showAll="0" defaultSubtotal="0"/>
    <pivotField compact="0" outline="0" subtotalTop="0" showAll="0" includeNewItemsInFilter="1" sortType="ascending" rankBy="0">
      <items count="23">
        <item x="0"/>
        <item m="1" x="7"/>
        <item m="1" x="20"/>
        <item m="1" x="5"/>
        <item x="2"/>
        <item x="1"/>
        <item x="3"/>
        <item m="1" x="6"/>
        <item m="1" x="15"/>
        <item m="1" x="13"/>
        <item m="1" x="21"/>
        <item m="1" x="12"/>
        <item m="1" x="14"/>
        <item m="1" x="16"/>
        <item m="1" x="9"/>
        <item m="1" x="19"/>
        <item m="1" x="8"/>
        <item m="1" x="11"/>
        <item m="1" x="17"/>
        <item m="1" x="18"/>
        <item m="1" x="10"/>
        <item m="1" x="4"/>
        <item t="default"/>
      </items>
    </pivotField>
    <pivotField compact="0" outline="0" subtotalTop="0" showAll="0" includeNewItemsInFilter="1" defaultSubtotal="0"/>
    <pivotField compact="0" outline="0" subtotalTop="0" showAll="0" includeNewItemsInFilter="1" defaultSubtotal="0"/>
    <pivotField compact="0" outline="0" subtotalTop="0" showAll="0" includeNewItemsInFilter="1">
      <items count="5">
        <item x="2"/>
        <item x="0"/>
        <item x="1"/>
        <item m="1" x="3"/>
        <item t="default"/>
      </items>
    </pivotField>
    <pivotField compact="0" outline="0" subtotalTop="0" showAll="0" includeNewItemsInFilter="1">
      <items count="7">
        <item x="2"/>
        <item x="3"/>
        <item x="4"/>
        <item x="1"/>
        <item x="0"/>
        <item m="1" x="5"/>
        <item t="default"/>
      </items>
    </pivotField>
    <pivotField compact="0" outline="0" subtotalTop="0" showAll="0" includeNewItemsInFilter="1">
      <items count="15">
        <item x="8"/>
        <item x="11"/>
        <item x="9"/>
        <item x="4"/>
        <item x="7"/>
        <item x="1"/>
        <item x="5"/>
        <item x="10"/>
        <item x="12"/>
        <item x="0"/>
        <item x="2"/>
        <item x="6"/>
        <item x="3"/>
        <item m="1" x="13"/>
        <item t="default"/>
      </items>
    </pivotField>
    <pivotField compact="0" outline="0" subtotalTop="0" showAll="0" includeNewItemsInFilter="1" defaultSubtotal="0"/>
    <pivotField compact="0" outline="0" subtotalTop="0" showAll="0" includeNewItemsInFilter="1"/>
    <pivotField compact="0" outline="0" subtotalTop="0" showAll="0" includeNewItemsInFilter="1">
      <items count="4">
        <item x="1"/>
        <item x="0"/>
        <item m="1" x="2"/>
        <item t="default"/>
      </items>
    </pivotField>
    <pivotField compact="0" numFmtId="9"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defaultSubtotal="0"/>
    <pivotField compact="0" numFmtId="1" outline="0" subtotalTop="0" showAll="0" includeNewItemsInFilter="1" defaultSubtotal="0"/>
    <pivotField compact="0" numFmtId="49" outline="0" subtotalTop="0" showAll="0" defaultSubtotal="0"/>
    <pivotField axis="axisRow" compact="0" outline="0" subtotalTop="0" showAll="0" includeNewItemsInFilter="1" sortType="ascending" defaultSubtotal="0">
      <items count="2">
        <item x="0"/>
        <item x="1"/>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includeNewItemsInFilter="1"/>
    <pivotField compact="0" outline="0" subtotalTop="0" showAll="0" includeNewItemsInFilter="1"/>
    <pivotField compact="0" outline="0" subtotalTop="0" showAll="0" includeNewItemsInFilter="1" defaultSubtotal="0">
      <items count="9">
        <item m="1" x="4"/>
        <item m="1" x="6"/>
        <item x="2"/>
        <item m="1" x="7"/>
        <item x="1"/>
        <item m="1" x="8"/>
        <item x="0"/>
        <item m="1" x="5"/>
        <item x="3"/>
      </items>
    </pivotField>
    <pivotField compact="0" outline="0" subtotalTop="0" showAll="0" includeNewItemsInFilter="1">
      <items count="11">
        <item m="1" x="9"/>
        <item x="8"/>
        <item x="7"/>
        <item x="6"/>
        <item x="5"/>
        <item x="4"/>
        <item x="0"/>
        <item x="3"/>
        <item x="2"/>
        <item x="1"/>
        <item t="default"/>
      </items>
    </pivotField>
    <pivotField compact="0" outline="0" subtotalTop="0" showAll="0" includeNewItemsInFilter="1" defaultSubtotal="0"/>
    <pivotField compact="0" outline="0" subtotalTop="0" showAll="0" includeNewItemsInFilter="1" defaultSubtotal="0"/>
    <pivotField compact="0" outline="0" subtotalTop="0" showAll="0" defaultSubtotal="0"/>
    <pivotField compact="0" outline="0" subtotalTop="0" showAll="0" defaultSubtotal="0"/>
    <pivotField compact="0" outline="0" subtotalTop="0" dragToRow="0" dragToCol="0" dragToPage="0" showAll="0" defaultSubtotal="0"/>
  </pivotFields>
  <rowFields count="1">
    <field x="23"/>
  </rowFields>
  <rowItems count="3">
    <i>
      <x/>
    </i>
    <i>
      <x v="1"/>
    </i>
    <i t="grand">
      <x/>
    </i>
  </rowItems>
  <colFields count="1">
    <field x="1"/>
  </colFields>
  <colItems count="3">
    <i>
      <x v="1"/>
    </i>
    <i>
      <x v="2"/>
    </i>
    <i t="grand">
      <x/>
    </i>
  </colItems>
  <dataFields count="1">
    <dataField name="NB sur NOM" fld="0" subtotal="count" baseField="0" baseItem="0"/>
  </dataFields>
  <formats count="29">
    <format dxfId="633">
      <pivotArea field="1" grandRow="1" outline="0" axis="axisCol" fieldPosition="0">
        <references count="1">
          <reference field="1" count="2" selected="0">
            <x v="1"/>
            <x v="2"/>
          </reference>
        </references>
      </pivotArea>
    </format>
    <format dxfId="632">
      <pivotArea grandRow="1" grandCol="1" outline="0" fieldPosition="0"/>
    </format>
    <format dxfId="631">
      <pivotArea outline="0" fieldPosition="0"/>
    </format>
    <format dxfId="630">
      <pivotArea type="all" dataOnly="0" outline="0" fieldPosition="0"/>
    </format>
    <format dxfId="629">
      <pivotArea type="all" dataOnly="0" outline="0" fieldPosition="0"/>
    </format>
    <format dxfId="628">
      <pivotArea type="all" dataOnly="0" outline="0" fieldPosition="0"/>
    </format>
    <format dxfId="627">
      <pivotArea type="all" dataOnly="0" outline="0" fieldPosition="0"/>
    </format>
    <format dxfId="626">
      <pivotArea type="all" dataOnly="0" outline="0" fieldPosition="0"/>
    </format>
    <format dxfId="625">
      <pivotArea type="all" dataOnly="0" outline="0" fieldPosition="0"/>
    </format>
    <format dxfId="624">
      <pivotArea type="all" dataOnly="0" outline="0" fieldPosition="0"/>
    </format>
    <format dxfId="623">
      <pivotArea outline="0" collapsedLevelsAreSubtotals="1" fieldPosition="0"/>
    </format>
    <format dxfId="622">
      <pivotArea type="origin" dataOnly="0" labelOnly="1" outline="0" fieldPosition="0"/>
    </format>
    <format dxfId="621">
      <pivotArea field="1" type="button" dataOnly="0" labelOnly="1" outline="0" axis="axisCol" fieldPosition="0"/>
    </format>
    <format dxfId="620">
      <pivotArea type="topRight" dataOnly="0" labelOnly="1" outline="0" fieldPosition="0"/>
    </format>
    <format dxfId="619">
      <pivotArea field="23" type="button" dataOnly="0" labelOnly="1" outline="0" axis="axisRow" fieldPosition="0"/>
    </format>
    <format dxfId="618">
      <pivotArea dataOnly="0" labelOnly="1" outline="0" fieldPosition="0">
        <references count="1">
          <reference field="23" count="0"/>
        </references>
      </pivotArea>
    </format>
    <format dxfId="617">
      <pivotArea dataOnly="0" labelOnly="1" grandRow="1" outline="0" fieldPosition="0"/>
    </format>
    <format dxfId="616">
      <pivotArea dataOnly="0" labelOnly="1" outline="0" fieldPosition="0">
        <references count="1">
          <reference field="1" count="0"/>
        </references>
      </pivotArea>
    </format>
    <format dxfId="615">
      <pivotArea dataOnly="0" labelOnly="1" grandCol="1" outline="0" fieldPosition="0"/>
    </format>
    <format dxfId="614">
      <pivotArea type="all" dataOnly="0" outline="0" fieldPosition="0"/>
    </format>
    <format dxfId="613">
      <pivotArea outline="0" collapsedLevelsAreSubtotals="1" fieldPosition="0"/>
    </format>
    <format dxfId="612">
      <pivotArea type="origin" dataOnly="0" labelOnly="1" outline="0" fieldPosition="0"/>
    </format>
    <format dxfId="611">
      <pivotArea field="1" type="button" dataOnly="0" labelOnly="1" outline="0" axis="axisCol" fieldPosition="0"/>
    </format>
    <format dxfId="610">
      <pivotArea type="topRight" dataOnly="0" labelOnly="1" outline="0" fieldPosition="0"/>
    </format>
    <format dxfId="609">
      <pivotArea field="23" type="button" dataOnly="0" labelOnly="1" outline="0" axis="axisRow" fieldPosition="0"/>
    </format>
    <format dxfId="608">
      <pivotArea dataOnly="0" labelOnly="1" outline="0" fieldPosition="0">
        <references count="1">
          <reference field="23" count="0"/>
        </references>
      </pivotArea>
    </format>
    <format dxfId="607">
      <pivotArea dataOnly="0" labelOnly="1" grandRow="1" outline="0" fieldPosition="0"/>
    </format>
    <format dxfId="606">
      <pivotArea dataOnly="0" labelOnly="1" outline="0" fieldPosition="0">
        <references count="1">
          <reference field="1" count="0"/>
        </references>
      </pivotArea>
    </format>
    <format dxfId="605">
      <pivotArea dataOnly="0" labelOnly="1" grandCol="1" outline="0" fieldPosition="0"/>
    </format>
  </formats>
  <chartFormats count="2">
    <chartFormat chart="0" format="16" series="1">
      <pivotArea type="data" outline="0" fieldPosition="0">
        <references count="2">
          <reference field="4294967294" count="1" selected="0">
            <x v="0"/>
          </reference>
          <reference field="1" count="1" selected="0">
            <x v="1"/>
          </reference>
        </references>
      </pivotArea>
    </chartFormat>
    <chartFormat chart="0" format="17" series="1">
      <pivotArea type="data" outline="0" fieldPosition="0">
        <references count="2">
          <reference field="4294967294" count="1" selected="0">
            <x v="0"/>
          </reference>
          <reference field="1"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E59CE64C-ECD6-4F4E-8F5A-2A0EC4ADFF4F}" name="Tableau croisé dynamique3" cacheId="16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
  <location ref="D71:G79" firstHeaderRow="1" firstDataRow="2" firstDataCol="1"/>
  <pivotFields count="36">
    <pivotField dataField="1" showAll="0">
      <items count="316">
        <item x="12"/>
        <item x="226"/>
        <item x="85"/>
        <item x="29"/>
        <item x="130"/>
        <item x="222"/>
        <item x="192"/>
        <item x="26"/>
        <item x="301"/>
        <item x="233"/>
        <item x="91"/>
        <item x="60"/>
        <item x="212"/>
        <item x="185"/>
        <item x="31"/>
        <item x="48"/>
        <item x="293"/>
        <item x="220"/>
        <item x="70"/>
        <item x="16"/>
        <item x="216"/>
        <item x="278"/>
        <item x="261"/>
        <item x="41"/>
        <item x="141"/>
        <item x="6"/>
        <item x="22"/>
        <item x="150"/>
        <item x="313"/>
        <item x="166"/>
        <item x="206"/>
        <item x="284"/>
        <item x="15"/>
        <item x="1"/>
        <item x="49"/>
        <item x="170"/>
        <item x="189"/>
        <item x="307"/>
        <item x="55"/>
        <item x="213"/>
        <item x="239"/>
        <item x="40"/>
        <item x="138"/>
        <item x="275"/>
        <item x="95"/>
        <item x="221"/>
        <item x="125"/>
        <item x="94"/>
        <item x="191"/>
        <item x="215"/>
        <item x="270"/>
        <item x="37"/>
        <item x="108"/>
        <item x="257"/>
        <item x="186"/>
        <item x="285"/>
        <item x="129"/>
        <item x="104"/>
        <item x="154"/>
        <item x="187"/>
        <item x="162"/>
        <item x="52"/>
        <item x="10"/>
        <item x="295"/>
        <item x="112"/>
        <item x="38"/>
        <item x="234"/>
        <item x="219"/>
        <item x="123"/>
        <item x="87"/>
        <item x="80"/>
        <item x="156"/>
        <item x="73"/>
        <item x="267"/>
        <item x="64"/>
        <item x="258"/>
        <item x="8"/>
        <item x="13"/>
        <item x="227"/>
        <item x="299"/>
        <item x="126"/>
        <item x="302"/>
        <item x="229"/>
        <item x="21"/>
        <item x="68"/>
        <item x="88"/>
        <item x="116"/>
        <item x="66"/>
        <item x="176"/>
        <item x="135"/>
        <item x="118"/>
        <item x="128"/>
        <item x="100"/>
        <item x="265"/>
        <item x="106"/>
        <item x="140"/>
        <item x="165"/>
        <item x="279"/>
        <item x="198"/>
        <item x="245"/>
        <item x="83"/>
        <item x="78"/>
        <item x="79"/>
        <item x="61"/>
        <item x="232"/>
        <item x="314"/>
        <item x="86"/>
        <item x="283"/>
        <item x="50"/>
        <item x="174"/>
        <item x="42"/>
        <item x="109"/>
        <item x="308"/>
        <item x="163"/>
        <item x="2"/>
        <item x="247"/>
        <item x="297"/>
        <item x="120"/>
        <item x="18"/>
        <item x="195"/>
        <item x="82"/>
        <item x="132"/>
        <item x="157"/>
        <item x="4"/>
        <item x="181"/>
        <item x="77"/>
        <item x="99"/>
        <item x="57"/>
        <item x="27"/>
        <item x="56"/>
        <item x="9"/>
        <item x="210"/>
        <item x="47"/>
        <item x="273"/>
        <item x="225"/>
        <item x="289"/>
        <item x="209"/>
        <item x="45"/>
        <item x="65"/>
        <item x="107"/>
        <item x="11"/>
        <item x="280"/>
        <item x="202"/>
        <item x="169"/>
        <item x="243"/>
        <item x="127"/>
        <item x="28"/>
        <item x="268"/>
        <item x="276"/>
        <item x="281"/>
        <item x="199"/>
        <item x="259"/>
        <item x="277"/>
        <item x="296"/>
        <item x="223"/>
        <item x="142"/>
        <item x="218"/>
        <item x="203"/>
        <item x="305"/>
        <item x="72"/>
        <item x="62"/>
        <item x="256"/>
        <item x="149"/>
        <item x="145"/>
        <item x="311"/>
        <item x="153"/>
        <item x="190"/>
        <item x="124"/>
        <item x="193"/>
        <item x="155"/>
        <item x="208"/>
        <item x="34"/>
        <item x="231"/>
        <item x="74"/>
        <item x="117"/>
        <item x="23"/>
        <item x="121"/>
        <item x="269"/>
        <item x="182"/>
        <item x="161"/>
        <item x="35"/>
        <item x="241"/>
        <item x="76"/>
        <item x="71"/>
        <item x="92"/>
        <item x="298"/>
        <item x="235"/>
        <item x="282"/>
        <item x="20"/>
        <item x="304"/>
        <item x="286"/>
        <item x="148"/>
        <item x="122"/>
        <item x="139"/>
        <item x="136"/>
        <item x="312"/>
        <item x="196"/>
        <item x="93"/>
        <item x="240"/>
        <item x="59"/>
        <item x="81"/>
        <item x="144"/>
        <item x="197"/>
        <item x="102"/>
        <item x="237"/>
        <item x="96"/>
        <item x="19"/>
        <item x="242"/>
        <item x="63"/>
        <item x="110"/>
        <item x="264"/>
        <item x="250"/>
        <item x="255"/>
        <item x="263"/>
        <item x="113"/>
        <item x="303"/>
        <item x="207"/>
        <item x="300"/>
        <item x="101"/>
        <item x="188"/>
        <item x="290"/>
        <item x="0"/>
        <item x="214"/>
        <item x="294"/>
        <item x="252"/>
        <item x="262"/>
        <item x="204"/>
        <item x="24"/>
        <item x="105"/>
        <item x="228"/>
        <item x="236"/>
        <item x="84"/>
        <item x="53"/>
        <item x="310"/>
        <item x="164"/>
        <item x="271"/>
        <item x="194"/>
        <item x="90"/>
        <item x="173"/>
        <item x="177"/>
        <item x="168"/>
        <item x="158"/>
        <item x="217"/>
        <item x="67"/>
        <item x="179"/>
        <item x="175"/>
        <item x="244"/>
        <item x="291"/>
        <item x="274"/>
        <item x="272"/>
        <item x="211"/>
        <item x="201"/>
        <item x="14"/>
        <item x="33"/>
        <item x="119"/>
        <item x="249"/>
        <item x="46"/>
        <item x="180"/>
        <item x="89"/>
        <item x="30"/>
        <item x="146"/>
        <item x="246"/>
        <item x="97"/>
        <item x="43"/>
        <item x="137"/>
        <item x="39"/>
        <item x="75"/>
        <item x="178"/>
        <item x="143"/>
        <item x="7"/>
        <item x="167"/>
        <item x="172"/>
        <item x="248"/>
        <item x="98"/>
        <item x="200"/>
        <item x="230"/>
        <item x="306"/>
        <item x="147"/>
        <item x="184"/>
        <item x="69"/>
        <item x="111"/>
        <item x="288"/>
        <item x="54"/>
        <item x="205"/>
        <item x="151"/>
        <item x="5"/>
        <item x="103"/>
        <item x="238"/>
        <item x="131"/>
        <item x="3"/>
        <item x="115"/>
        <item x="171"/>
        <item x="254"/>
        <item x="114"/>
        <item x="159"/>
        <item x="32"/>
        <item x="58"/>
        <item x="44"/>
        <item x="253"/>
        <item x="309"/>
        <item x="152"/>
        <item x="251"/>
        <item x="266"/>
        <item x="183"/>
        <item x="17"/>
        <item x="292"/>
        <item x="160"/>
        <item x="224"/>
        <item x="51"/>
        <item x="287"/>
        <item x="260"/>
        <item x="36"/>
        <item x="25"/>
        <item x="134"/>
        <item x="133"/>
        <item t="default"/>
      </items>
    </pivotField>
    <pivotField axis="axisCol" showAll="0">
      <items count="4">
        <item x="1"/>
        <item x="0"/>
        <item m="1" x="2"/>
        <item t="default"/>
      </items>
    </pivotField>
    <pivotField numFmtId="14" showAll="0"/>
    <pivotField numFmtId="14"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axis="axisRow" showAll="0">
      <items count="7">
        <item x="0"/>
        <item x="1"/>
        <item x="2"/>
        <item x="3"/>
        <item x="4"/>
        <item x="5"/>
        <item t="default"/>
      </items>
    </pivotField>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26"/>
  </rowFields>
  <rowItems count="7">
    <i>
      <x/>
    </i>
    <i>
      <x v="1"/>
    </i>
    <i>
      <x v="2"/>
    </i>
    <i>
      <x v="3"/>
    </i>
    <i>
      <x v="4"/>
    </i>
    <i>
      <x v="5"/>
    </i>
    <i t="grand">
      <x/>
    </i>
  </rowItems>
  <colFields count="1">
    <field x="1"/>
  </colFields>
  <colItems count="3">
    <i>
      <x/>
    </i>
    <i>
      <x v="1"/>
    </i>
    <i t="grand">
      <x/>
    </i>
  </colItems>
  <dataFields count="1">
    <dataField name="Nombre de NOM" fld="0" subtotal="count" baseField="0" baseItem="0" numFmtId="49"/>
  </dataFields>
  <formats count="20">
    <format dxfId="20">
      <pivotArea type="all" dataOnly="0" outline="0" fieldPosition="0"/>
    </format>
    <format dxfId="19">
      <pivotArea outline="0" collapsedLevelsAreSubtotals="1" fieldPosition="0"/>
    </format>
    <format dxfId="18">
      <pivotArea type="origin" dataOnly="0" labelOnly="1" outline="0" fieldPosition="0"/>
    </format>
    <format dxfId="17">
      <pivotArea field="1" type="button" dataOnly="0" labelOnly="1" outline="0" axis="axisCol" fieldPosition="0"/>
    </format>
    <format dxfId="16">
      <pivotArea type="topRight" dataOnly="0" labelOnly="1" outline="0" fieldPosition="0"/>
    </format>
    <format dxfId="15">
      <pivotArea field="26" type="button" dataOnly="0" labelOnly="1" outline="0" axis="axisRow" fieldPosition="0"/>
    </format>
    <format dxfId="14">
      <pivotArea dataOnly="0" labelOnly="1" fieldPosition="0">
        <references count="1">
          <reference field="26" count="0"/>
        </references>
      </pivotArea>
    </format>
    <format dxfId="13">
      <pivotArea dataOnly="0" labelOnly="1" grandRow="1" outline="0" fieldPosition="0"/>
    </format>
    <format dxfId="12">
      <pivotArea dataOnly="0" labelOnly="1" fieldPosition="0">
        <references count="1">
          <reference field="1" count="0"/>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1" type="button" dataOnly="0" labelOnly="1" outline="0" axis="axisCol" fieldPosition="0"/>
    </format>
    <format dxfId="6">
      <pivotArea type="topRight" dataOnly="0" labelOnly="1" outline="0" fieldPosition="0"/>
    </format>
    <format dxfId="5">
      <pivotArea field="26" type="button" dataOnly="0" labelOnly="1" outline="0" axis="axisRow" fieldPosition="0"/>
    </format>
    <format dxfId="4">
      <pivotArea dataOnly="0" labelOnly="1" fieldPosition="0">
        <references count="1">
          <reference field="26" count="0"/>
        </references>
      </pivotArea>
    </format>
    <format dxfId="3">
      <pivotArea dataOnly="0" labelOnly="1" grandRow="1" outline="0" fieldPosition="0"/>
    </format>
    <format dxfId="2">
      <pivotArea dataOnly="0" labelOnly="1" fieldPosition="0">
        <references count="1">
          <reference field="1" count="0"/>
        </references>
      </pivotArea>
    </format>
    <format dxfId="1">
      <pivotArea dataOnly="0" labelOnly="1" grandCol="1" outline="0" fieldPosition="0"/>
    </format>
  </formats>
  <chartFormats count="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F60BC69D-425B-FF43-9F73-B73C0A0D2064}" name="Tableau croisé dynamique5" cacheId="16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
  <location ref="N71:U75" firstHeaderRow="1" firstDataRow="2" firstDataCol="1"/>
  <pivotFields count="36">
    <pivotField dataField="1" showAll="0">
      <items count="316">
        <item x="12"/>
        <item x="226"/>
        <item x="85"/>
        <item x="29"/>
        <item x="130"/>
        <item x="222"/>
        <item x="192"/>
        <item x="26"/>
        <item x="301"/>
        <item x="233"/>
        <item x="91"/>
        <item x="60"/>
        <item x="212"/>
        <item x="185"/>
        <item x="31"/>
        <item x="48"/>
        <item x="293"/>
        <item x="220"/>
        <item x="70"/>
        <item x="16"/>
        <item x="216"/>
        <item x="278"/>
        <item x="261"/>
        <item x="41"/>
        <item x="141"/>
        <item x="6"/>
        <item x="22"/>
        <item x="150"/>
        <item x="313"/>
        <item x="166"/>
        <item x="206"/>
        <item x="284"/>
        <item x="15"/>
        <item x="1"/>
        <item x="49"/>
        <item x="170"/>
        <item x="189"/>
        <item x="307"/>
        <item x="55"/>
        <item x="213"/>
        <item x="239"/>
        <item x="40"/>
        <item x="138"/>
        <item x="275"/>
        <item x="95"/>
        <item x="221"/>
        <item x="125"/>
        <item x="94"/>
        <item x="191"/>
        <item x="215"/>
        <item x="270"/>
        <item x="37"/>
        <item x="108"/>
        <item x="257"/>
        <item x="186"/>
        <item x="285"/>
        <item x="129"/>
        <item x="104"/>
        <item x="154"/>
        <item x="187"/>
        <item x="162"/>
        <item x="52"/>
        <item x="10"/>
        <item x="295"/>
        <item x="112"/>
        <item x="38"/>
        <item x="234"/>
        <item x="219"/>
        <item x="123"/>
        <item x="87"/>
        <item x="80"/>
        <item x="156"/>
        <item x="73"/>
        <item x="267"/>
        <item x="64"/>
        <item x="258"/>
        <item x="8"/>
        <item x="13"/>
        <item x="227"/>
        <item x="299"/>
        <item x="126"/>
        <item x="302"/>
        <item x="229"/>
        <item x="21"/>
        <item x="68"/>
        <item x="88"/>
        <item x="116"/>
        <item x="66"/>
        <item x="176"/>
        <item x="135"/>
        <item x="118"/>
        <item x="128"/>
        <item x="100"/>
        <item x="265"/>
        <item x="106"/>
        <item x="140"/>
        <item x="165"/>
        <item x="279"/>
        <item x="198"/>
        <item x="245"/>
        <item x="83"/>
        <item x="78"/>
        <item x="79"/>
        <item x="61"/>
        <item x="232"/>
        <item x="314"/>
        <item x="86"/>
        <item x="283"/>
        <item x="50"/>
        <item x="174"/>
        <item x="42"/>
        <item x="109"/>
        <item x="308"/>
        <item x="163"/>
        <item x="2"/>
        <item x="247"/>
        <item x="297"/>
        <item x="120"/>
        <item x="18"/>
        <item x="195"/>
        <item x="82"/>
        <item x="132"/>
        <item x="157"/>
        <item x="4"/>
        <item x="181"/>
        <item x="77"/>
        <item x="99"/>
        <item x="57"/>
        <item x="27"/>
        <item x="56"/>
        <item x="9"/>
        <item x="210"/>
        <item x="47"/>
        <item x="273"/>
        <item x="225"/>
        <item x="289"/>
        <item x="209"/>
        <item x="45"/>
        <item x="65"/>
        <item x="107"/>
        <item x="11"/>
        <item x="280"/>
        <item x="202"/>
        <item x="169"/>
        <item x="243"/>
        <item x="127"/>
        <item x="28"/>
        <item x="268"/>
        <item x="276"/>
        <item x="281"/>
        <item x="199"/>
        <item x="259"/>
        <item x="277"/>
        <item x="296"/>
        <item x="223"/>
        <item x="142"/>
        <item x="218"/>
        <item x="203"/>
        <item x="305"/>
        <item x="72"/>
        <item x="62"/>
        <item x="256"/>
        <item x="149"/>
        <item x="145"/>
        <item x="311"/>
        <item x="153"/>
        <item x="190"/>
        <item x="124"/>
        <item x="193"/>
        <item x="155"/>
        <item x="208"/>
        <item x="34"/>
        <item x="231"/>
        <item x="74"/>
        <item x="117"/>
        <item x="23"/>
        <item x="121"/>
        <item x="269"/>
        <item x="182"/>
        <item x="161"/>
        <item x="35"/>
        <item x="241"/>
        <item x="76"/>
        <item x="71"/>
        <item x="92"/>
        <item x="298"/>
        <item x="235"/>
        <item x="282"/>
        <item x="20"/>
        <item x="304"/>
        <item x="286"/>
        <item x="148"/>
        <item x="122"/>
        <item x="139"/>
        <item x="136"/>
        <item x="312"/>
        <item x="196"/>
        <item x="93"/>
        <item x="240"/>
        <item x="59"/>
        <item x="81"/>
        <item x="144"/>
        <item x="197"/>
        <item x="102"/>
        <item x="237"/>
        <item x="96"/>
        <item x="19"/>
        <item x="242"/>
        <item x="63"/>
        <item x="110"/>
        <item x="264"/>
        <item x="250"/>
        <item x="255"/>
        <item x="263"/>
        <item x="113"/>
        <item x="303"/>
        <item x="207"/>
        <item x="300"/>
        <item x="101"/>
        <item x="188"/>
        <item x="290"/>
        <item x="0"/>
        <item x="214"/>
        <item x="294"/>
        <item x="252"/>
        <item x="262"/>
        <item x="204"/>
        <item x="24"/>
        <item x="105"/>
        <item x="228"/>
        <item x="236"/>
        <item x="84"/>
        <item x="53"/>
        <item x="310"/>
        <item x="164"/>
        <item x="271"/>
        <item x="194"/>
        <item x="90"/>
        <item x="173"/>
        <item x="177"/>
        <item x="168"/>
        <item x="158"/>
        <item x="217"/>
        <item x="67"/>
        <item x="179"/>
        <item x="175"/>
        <item x="244"/>
        <item x="291"/>
        <item x="274"/>
        <item x="272"/>
        <item x="211"/>
        <item x="201"/>
        <item x="14"/>
        <item x="33"/>
        <item x="119"/>
        <item x="249"/>
        <item x="46"/>
        <item x="180"/>
        <item x="89"/>
        <item x="30"/>
        <item x="146"/>
        <item x="246"/>
        <item x="97"/>
        <item x="43"/>
        <item x="137"/>
        <item x="39"/>
        <item x="75"/>
        <item x="178"/>
        <item x="143"/>
        <item x="7"/>
        <item x="167"/>
        <item x="172"/>
        <item x="248"/>
        <item x="98"/>
        <item x="200"/>
        <item x="230"/>
        <item x="306"/>
        <item x="147"/>
        <item x="184"/>
        <item x="69"/>
        <item x="111"/>
        <item x="288"/>
        <item x="54"/>
        <item x="205"/>
        <item x="151"/>
        <item x="5"/>
        <item x="103"/>
        <item x="238"/>
        <item x="131"/>
        <item x="3"/>
        <item x="115"/>
        <item x="171"/>
        <item x="254"/>
        <item x="114"/>
        <item x="159"/>
        <item x="32"/>
        <item x="58"/>
        <item x="44"/>
        <item x="253"/>
        <item x="309"/>
        <item x="152"/>
        <item x="251"/>
        <item x="266"/>
        <item x="183"/>
        <item x="17"/>
        <item x="292"/>
        <item x="160"/>
        <item x="224"/>
        <item x="51"/>
        <item x="287"/>
        <item x="260"/>
        <item x="36"/>
        <item x="25"/>
        <item x="134"/>
        <item x="133"/>
        <item t="default"/>
      </items>
    </pivotField>
    <pivotField axis="axisRow" showAll="0">
      <items count="4">
        <item x="1"/>
        <item x="0"/>
        <item m="1" x="2"/>
        <item t="default"/>
      </items>
    </pivotField>
    <pivotField numFmtId="14" showAll="0"/>
    <pivotField numFmtId="14"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axis="axisCol" showAll="0">
      <items count="7">
        <item x="0"/>
        <item x="1"/>
        <item x="2"/>
        <item x="3"/>
        <item x="4"/>
        <item x="5"/>
        <item t="default"/>
      </items>
    </pivotField>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1"/>
  </rowFields>
  <rowItems count="3">
    <i>
      <x/>
    </i>
    <i>
      <x v="1"/>
    </i>
    <i t="grand">
      <x/>
    </i>
  </rowItems>
  <colFields count="1">
    <field x="26"/>
  </colFields>
  <colItems count="7">
    <i>
      <x/>
    </i>
    <i>
      <x v="1"/>
    </i>
    <i>
      <x v="2"/>
    </i>
    <i>
      <x v="3"/>
    </i>
    <i>
      <x v="4"/>
    </i>
    <i>
      <x v="5"/>
    </i>
    <i t="grand">
      <x/>
    </i>
  </colItems>
  <dataFields count="1">
    <dataField name="Nombre de NOM" fld="0" subtotal="count" showDataAs="percentOfCol" baseField="0" baseItem="0" numFmtId="9"/>
  </dataFields>
  <formats count="20">
    <format dxfId="40">
      <pivotArea type="all" dataOnly="0" outline="0" fieldPosition="0"/>
    </format>
    <format dxfId="39">
      <pivotArea outline="0" collapsedLevelsAreSubtotals="1" fieldPosition="0"/>
    </format>
    <format dxfId="38">
      <pivotArea type="origin" dataOnly="0" labelOnly="1" outline="0" fieldPosition="0"/>
    </format>
    <format dxfId="37">
      <pivotArea field="26" type="button" dataOnly="0" labelOnly="1" outline="0" axis="axisCol" fieldPosition="0"/>
    </format>
    <format dxfId="36">
      <pivotArea type="topRight" dataOnly="0" labelOnly="1" outline="0" fieldPosition="0"/>
    </format>
    <format dxfId="35">
      <pivotArea field="1" type="button" dataOnly="0" labelOnly="1" outline="0" axis="axisRow" fieldPosition="0"/>
    </format>
    <format dxfId="34">
      <pivotArea dataOnly="0" labelOnly="1" fieldPosition="0">
        <references count="1">
          <reference field="1" count="0"/>
        </references>
      </pivotArea>
    </format>
    <format dxfId="33">
      <pivotArea dataOnly="0" labelOnly="1" grandRow="1" outline="0" fieldPosition="0"/>
    </format>
    <format dxfId="32">
      <pivotArea dataOnly="0" labelOnly="1" fieldPosition="0">
        <references count="1">
          <reference field="26" count="0"/>
        </references>
      </pivotArea>
    </format>
    <format dxfId="31">
      <pivotArea dataOnly="0" labelOnly="1" grandCol="1" outline="0" fieldPosition="0"/>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26" type="button" dataOnly="0" labelOnly="1" outline="0" axis="axisCol" fieldPosition="0"/>
    </format>
    <format dxfId="26">
      <pivotArea type="topRight" dataOnly="0" labelOnly="1" outline="0" fieldPosition="0"/>
    </format>
    <format dxfId="25">
      <pivotArea field="1" type="button" dataOnly="0" labelOnly="1" outline="0" axis="axisRow" fieldPosition="0"/>
    </format>
    <format dxfId="24">
      <pivotArea dataOnly="0" labelOnly="1" fieldPosition="0">
        <references count="1">
          <reference field="1" count="0"/>
        </references>
      </pivotArea>
    </format>
    <format dxfId="23">
      <pivotArea dataOnly="0" labelOnly="1" grandRow="1" outline="0" fieldPosition="0"/>
    </format>
    <format dxfId="22">
      <pivotArea dataOnly="0" labelOnly="1" fieldPosition="0">
        <references count="1">
          <reference field="26" count="0"/>
        </references>
      </pivotArea>
    </format>
    <format dxfId="21">
      <pivotArea dataOnly="0" labelOnly="1" grandCol="1" outline="0" fieldPosition="0"/>
    </format>
  </formats>
  <chartFormats count="9">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26" count="1" selected="0">
            <x v="1"/>
          </reference>
        </references>
      </pivotArea>
    </chartFormat>
    <chartFormat chart="0" format="4" series="1">
      <pivotArea type="data" outline="0" fieldPosition="0">
        <references count="2">
          <reference field="4294967294" count="1" selected="0">
            <x v="0"/>
          </reference>
          <reference field="26" count="1" selected="0">
            <x v="2"/>
          </reference>
        </references>
      </pivotArea>
    </chartFormat>
    <chartFormat chart="0" format="5" series="1">
      <pivotArea type="data" outline="0" fieldPosition="0">
        <references count="2">
          <reference field="4294967294" count="1" selected="0">
            <x v="0"/>
          </reference>
          <reference field="26" count="1" selected="0">
            <x v="3"/>
          </reference>
        </references>
      </pivotArea>
    </chartFormat>
    <chartFormat chart="0" format="6" series="1">
      <pivotArea type="data" outline="0" fieldPosition="0">
        <references count="2">
          <reference field="4294967294" count="1" selected="0">
            <x v="0"/>
          </reference>
          <reference field="26" count="1" selected="0">
            <x v="4"/>
          </reference>
        </references>
      </pivotArea>
    </chartFormat>
    <chartFormat chart="0" format="7" series="1">
      <pivotArea type="data" outline="0" fieldPosition="0">
        <references count="2">
          <reference field="4294967294" count="1" selected="0">
            <x v="0"/>
          </reference>
          <reference field="26" count="1" selected="0">
            <x v="5"/>
          </reference>
        </references>
      </pivotArea>
    </chartFormat>
    <chartFormat chart="0" format="8" series="1">
      <pivotArea type="data" outline="0" fieldPosition="0">
        <references count="2">
          <reference field="4294967294" count="1" selected="0">
            <x v="0"/>
          </reference>
          <reference field="26" count="1" selected="0">
            <x v="0"/>
          </reference>
        </references>
      </pivotArea>
    </chartFormat>
  </chart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D27B8027-16F9-024F-AE8F-6488E678AA90}" name="Tableau croisé dynamique4" cacheId="164"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
  <location ref="I71:L79" firstHeaderRow="1" firstDataRow="2" firstDataCol="1"/>
  <pivotFields count="36">
    <pivotField dataField="1" showAll="0">
      <items count="316">
        <item x="12"/>
        <item x="226"/>
        <item x="85"/>
        <item x="29"/>
        <item x="130"/>
        <item x="222"/>
        <item x="192"/>
        <item x="26"/>
        <item x="301"/>
        <item x="233"/>
        <item x="91"/>
        <item x="60"/>
        <item x="212"/>
        <item x="185"/>
        <item x="31"/>
        <item x="48"/>
        <item x="293"/>
        <item x="220"/>
        <item x="70"/>
        <item x="16"/>
        <item x="216"/>
        <item x="278"/>
        <item x="261"/>
        <item x="41"/>
        <item x="141"/>
        <item x="6"/>
        <item x="22"/>
        <item x="150"/>
        <item x="313"/>
        <item x="166"/>
        <item x="206"/>
        <item x="284"/>
        <item x="15"/>
        <item x="1"/>
        <item x="49"/>
        <item x="170"/>
        <item x="189"/>
        <item x="307"/>
        <item x="55"/>
        <item x="213"/>
        <item x="239"/>
        <item x="40"/>
        <item x="138"/>
        <item x="275"/>
        <item x="95"/>
        <item x="221"/>
        <item x="125"/>
        <item x="94"/>
        <item x="191"/>
        <item x="215"/>
        <item x="270"/>
        <item x="37"/>
        <item x="108"/>
        <item x="257"/>
        <item x="186"/>
        <item x="285"/>
        <item x="129"/>
        <item x="104"/>
        <item x="154"/>
        <item x="187"/>
        <item x="162"/>
        <item x="52"/>
        <item x="10"/>
        <item x="295"/>
        <item x="112"/>
        <item x="38"/>
        <item x="234"/>
        <item x="219"/>
        <item x="123"/>
        <item x="87"/>
        <item x="80"/>
        <item x="156"/>
        <item x="73"/>
        <item x="267"/>
        <item x="64"/>
        <item x="258"/>
        <item x="8"/>
        <item x="13"/>
        <item x="227"/>
        <item x="299"/>
        <item x="126"/>
        <item x="302"/>
        <item x="229"/>
        <item x="21"/>
        <item x="68"/>
        <item x="88"/>
        <item x="116"/>
        <item x="66"/>
        <item x="176"/>
        <item x="135"/>
        <item x="118"/>
        <item x="128"/>
        <item x="100"/>
        <item x="265"/>
        <item x="106"/>
        <item x="140"/>
        <item x="165"/>
        <item x="279"/>
        <item x="198"/>
        <item x="245"/>
        <item x="83"/>
        <item x="78"/>
        <item x="79"/>
        <item x="61"/>
        <item x="232"/>
        <item x="314"/>
        <item x="86"/>
        <item x="283"/>
        <item x="50"/>
        <item x="174"/>
        <item x="42"/>
        <item x="109"/>
        <item x="308"/>
        <item x="163"/>
        <item x="2"/>
        <item x="247"/>
        <item x="297"/>
        <item x="120"/>
        <item x="18"/>
        <item x="195"/>
        <item x="82"/>
        <item x="132"/>
        <item x="157"/>
        <item x="4"/>
        <item x="181"/>
        <item x="77"/>
        <item x="99"/>
        <item x="57"/>
        <item x="27"/>
        <item x="56"/>
        <item x="9"/>
        <item x="210"/>
        <item x="47"/>
        <item x="273"/>
        <item x="225"/>
        <item x="289"/>
        <item x="209"/>
        <item x="45"/>
        <item x="65"/>
        <item x="107"/>
        <item x="11"/>
        <item x="280"/>
        <item x="202"/>
        <item x="169"/>
        <item x="243"/>
        <item x="127"/>
        <item x="28"/>
        <item x="268"/>
        <item x="276"/>
        <item x="281"/>
        <item x="199"/>
        <item x="259"/>
        <item x="277"/>
        <item x="296"/>
        <item x="223"/>
        <item x="142"/>
        <item x="218"/>
        <item x="203"/>
        <item x="305"/>
        <item x="72"/>
        <item x="62"/>
        <item x="256"/>
        <item x="149"/>
        <item x="145"/>
        <item x="311"/>
        <item x="153"/>
        <item x="190"/>
        <item x="124"/>
        <item x="193"/>
        <item x="155"/>
        <item x="208"/>
        <item x="34"/>
        <item x="231"/>
        <item x="74"/>
        <item x="117"/>
        <item x="23"/>
        <item x="121"/>
        <item x="269"/>
        <item x="182"/>
        <item x="161"/>
        <item x="35"/>
        <item x="241"/>
        <item x="76"/>
        <item x="71"/>
        <item x="92"/>
        <item x="298"/>
        <item x="235"/>
        <item x="282"/>
        <item x="20"/>
        <item x="304"/>
        <item x="286"/>
        <item x="148"/>
        <item x="122"/>
        <item x="139"/>
        <item x="136"/>
        <item x="312"/>
        <item x="196"/>
        <item x="93"/>
        <item x="240"/>
        <item x="59"/>
        <item x="81"/>
        <item x="144"/>
        <item x="197"/>
        <item x="102"/>
        <item x="237"/>
        <item x="96"/>
        <item x="19"/>
        <item x="242"/>
        <item x="63"/>
        <item x="110"/>
        <item x="264"/>
        <item x="250"/>
        <item x="255"/>
        <item x="263"/>
        <item x="113"/>
        <item x="303"/>
        <item x="207"/>
        <item x="300"/>
        <item x="101"/>
        <item x="188"/>
        <item x="290"/>
        <item x="0"/>
        <item x="214"/>
        <item x="294"/>
        <item x="252"/>
        <item x="262"/>
        <item x="204"/>
        <item x="24"/>
        <item x="105"/>
        <item x="228"/>
        <item x="236"/>
        <item x="84"/>
        <item x="53"/>
        <item x="310"/>
        <item x="164"/>
        <item x="271"/>
        <item x="194"/>
        <item x="90"/>
        <item x="173"/>
        <item x="177"/>
        <item x="168"/>
        <item x="158"/>
        <item x="217"/>
        <item x="67"/>
        <item x="179"/>
        <item x="175"/>
        <item x="244"/>
        <item x="291"/>
        <item x="274"/>
        <item x="272"/>
        <item x="211"/>
        <item x="201"/>
        <item x="14"/>
        <item x="33"/>
        <item x="119"/>
        <item x="249"/>
        <item x="46"/>
        <item x="180"/>
        <item x="89"/>
        <item x="30"/>
        <item x="146"/>
        <item x="246"/>
        <item x="97"/>
        <item x="43"/>
        <item x="137"/>
        <item x="39"/>
        <item x="75"/>
        <item x="178"/>
        <item x="143"/>
        <item x="7"/>
        <item x="167"/>
        <item x="172"/>
        <item x="248"/>
        <item x="98"/>
        <item x="200"/>
        <item x="230"/>
        <item x="306"/>
        <item x="147"/>
        <item x="184"/>
        <item x="69"/>
        <item x="111"/>
        <item x="288"/>
        <item x="54"/>
        <item x="205"/>
        <item x="151"/>
        <item x="5"/>
        <item x="103"/>
        <item x="238"/>
        <item x="131"/>
        <item x="3"/>
        <item x="115"/>
        <item x="171"/>
        <item x="254"/>
        <item x="114"/>
        <item x="159"/>
        <item x="32"/>
        <item x="58"/>
        <item x="44"/>
        <item x="253"/>
        <item x="309"/>
        <item x="152"/>
        <item x="251"/>
        <item x="266"/>
        <item x="183"/>
        <item x="17"/>
        <item x="292"/>
        <item x="160"/>
        <item x="224"/>
        <item x="51"/>
        <item x="287"/>
        <item x="260"/>
        <item x="36"/>
        <item x="25"/>
        <item x="134"/>
        <item x="133"/>
        <item t="default"/>
      </items>
    </pivotField>
    <pivotField axis="axisCol" showAll="0">
      <items count="4">
        <item x="1"/>
        <item x="0"/>
        <item m="1" x="2"/>
        <item t="default"/>
      </items>
    </pivotField>
    <pivotField numFmtId="14" showAll="0"/>
    <pivotField numFmtId="14"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axis="axisRow" showAll="0">
      <items count="7">
        <item x="0"/>
        <item x="1"/>
        <item x="2"/>
        <item x="3"/>
        <item x="4"/>
        <item x="5"/>
        <item t="default"/>
      </items>
    </pivotField>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26"/>
  </rowFields>
  <rowItems count="7">
    <i>
      <x/>
    </i>
    <i>
      <x v="1"/>
    </i>
    <i>
      <x v="2"/>
    </i>
    <i>
      <x v="3"/>
    </i>
    <i>
      <x v="4"/>
    </i>
    <i>
      <x v="5"/>
    </i>
    <i t="grand">
      <x/>
    </i>
  </rowItems>
  <colFields count="1">
    <field x="1"/>
  </colFields>
  <colItems count="3">
    <i>
      <x/>
    </i>
    <i>
      <x v="1"/>
    </i>
    <i t="grand">
      <x/>
    </i>
  </colItems>
  <dataFields count="1">
    <dataField name="Nombre de NOM" fld="0" subtotal="count" showDataAs="percentOfRow" baseField="0" baseItem="0" numFmtId="9"/>
  </dataFields>
  <formats count="20">
    <format dxfId="60">
      <pivotArea type="all" dataOnly="0" outline="0" fieldPosition="0"/>
    </format>
    <format dxfId="59">
      <pivotArea outline="0" collapsedLevelsAreSubtotals="1" fieldPosition="0"/>
    </format>
    <format dxfId="58">
      <pivotArea type="origin" dataOnly="0" labelOnly="1" outline="0" fieldPosition="0"/>
    </format>
    <format dxfId="57">
      <pivotArea field="1" type="button" dataOnly="0" labelOnly="1" outline="0" axis="axisCol" fieldPosition="0"/>
    </format>
    <format dxfId="56">
      <pivotArea type="topRight" dataOnly="0" labelOnly="1" outline="0" fieldPosition="0"/>
    </format>
    <format dxfId="55">
      <pivotArea field="26" type="button" dataOnly="0" labelOnly="1" outline="0" axis="axisRow" fieldPosition="0"/>
    </format>
    <format dxfId="54">
      <pivotArea dataOnly="0" labelOnly="1" fieldPosition="0">
        <references count="1">
          <reference field="26" count="0"/>
        </references>
      </pivotArea>
    </format>
    <format dxfId="53">
      <pivotArea dataOnly="0" labelOnly="1" grandRow="1" outline="0" fieldPosition="0"/>
    </format>
    <format dxfId="52">
      <pivotArea dataOnly="0" labelOnly="1" fieldPosition="0">
        <references count="1">
          <reference field="1" count="0"/>
        </references>
      </pivotArea>
    </format>
    <format dxfId="51">
      <pivotArea dataOnly="0" labelOnly="1" grandCol="1" outline="0" fieldPosition="0"/>
    </format>
    <format dxfId="50">
      <pivotArea type="all" dataOnly="0" outline="0" fieldPosition="0"/>
    </format>
    <format dxfId="49">
      <pivotArea outline="0" collapsedLevelsAreSubtotals="1" fieldPosition="0"/>
    </format>
    <format dxfId="48">
      <pivotArea type="origin" dataOnly="0" labelOnly="1" outline="0" fieldPosition="0"/>
    </format>
    <format dxfId="47">
      <pivotArea field="1" type="button" dataOnly="0" labelOnly="1" outline="0" axis="axisCol" fieldPosition="0"/>
    </format>
    <format dxfId="46">
      <pivotArea type="topRight" dataOnly="0" labelOnly="1" outline="0" fieldPosition="0"/>
    </format>
    <format dxfId="45">
      <pivotArea field="26" type="button" dataOnly="0" labelOnly="1" outline="0" axis="axisRow" fieldPosition="0"/>
    </format>
    <format dxfId="44">
      <pivotArea dataOnly="0" labelOnly="1" fieldPosition="0">
        <references count="1">
          <reference field="26" count="0"/>
        </references>
      </pivotArea>
    </format>
    <format dxfId="43">
      <pivotArea dataOnly="0" labelOnly="1" grandRow="1" outline="0" fieldPosition="0"/>
    </format>
    <format dxfId="42">
      <pivotArea dataOnly="0" labelOnly="1" fieldPosition="0">
        <references count="1">
          <reference field="1" count="0"/>
        </references>
      </pivotArea>
    </format>
    <format dxfId="41">
      <pivotArea dataOnly="0" labelOnly="1" grandCol="1" outline="0" fieldPosition="0"/>
    </format>
  </formats>
  <chartFormats count="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4804873-EFE8-104F-BDAB-2B11D565DC1D}" name="Tableau croisé dynamique1"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G38:G42" firstHeaderRow="0" firstDataRow="0" firstDataCol="1"/>
  <pivotFields count="36">
    <pivotField showAll="0"/>
    <pivotField showAll="0"/>
    <pivotField numFmtId="14" showAll="0"/>
    <pivotField numFmtId="14" showAll="0"/>
    <pivotField showAll="0"/>
    <pivotField showAll="0"/>
    <pivotField axis="axisRow" showAll="0">
      <items count="7">
        <item x="4"/>
        <item x="0"/>
        <item x="1"/>
        <item x="2"/>
        <item x="3"/>
        <item m="1" x="5"/>
        <item t="default"/>
      </items>
    </pivotField>
    <pivotField showAll="0"/>
    <pivotField showAll="0"/>
    <pivotField showAll="0"/>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6"/>
  </rowFields>
  <rowItems count="5">
    <i>
      <x/>
    </i>
    <i>
      <x v="1"/>
    </i>
    <i>
      <x v="2"/>
    </i>
    <i>
      <x v="3"/>
    </i>
    <i>
      <x v="4"/>
    </i>
  </rowItems>
  <colItems count="1">
    <i/>
  </colItems>
  <formats count="1">
    <format dxfId="1755">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9DBF064-E216-4D45-B130-EBF56CBCFDDE}" name="Tableau croisé dynamique5" cacheId="164" applyNumberFormats="0" applyBorderFormats="0" applyFontFormats="0" applyPatternFormats="0" applyAlignmentFormats="0" applyWidthHeightFormats="1" dataCaption="Valeurs" updatedVersion="6" minRefreshableVersion="3" useAutoFormatting="1" rowGrandTotals="0" colGrandTotals="0" itemPrintTitles="1" createdVersion="6" indent="0" showHeaders="0" outline="1" outlineData="1" multipleFieldFilters="0" rowHeaderCaption="Catégiries saisies">
  <location ref="M38:M42" firstHeaderRow="0" firstDataRow="0" firstDataCol="1"/>
  <pivotFields count="36">
    <pivotField showAll="0"/>
    <pivotField showAll="0"/>
    <pivotField numFmtId="14" showAll="0"/>
    <pivotField numFmtId="14" showAll="0"/>
    <pivotField showAll="0"/>
    <pivotField showAll="0"/>
    <pivotField showAll="0"/>
    <pivotField showAll="0"/>
    <pivotField showAll="0"/>
    <pivotField axis="axisRow" showAll="0">
      <items count="7">
        <item x="2"/>
        <item x="3"/>
        <item x="4"/>
        <item x="1"/>
        <item x="0"/>
        <item m="1" x="5"/>
        <item t="default"/>
      </items>
    </pivotField>
    <pivotField showAll="0"/>
    <pivotField showAll="0"/>
    <pivotField showAll="0"/>
    <pivotField showAll="0"/>
    <pivotField numFmtId="9" showAll="0"/>
    <pivotField showAll="0"/>
    <pivotField showAll="0"/>
    <pivotField showAll="0"/>
    <pivotField numFmtId="1" showAll="0"/>
    <pivotField numFmtId="49" showAll="0"/>
    <pivotField showAll="0"/>
    <pivotField numFmtId="1" showAll="0"/>
    <pivotField numFmtId="49" showAll="0"/>
    <pivotField numFmtId="49" showAll="0"/>
    <pivotField numFmtId="49" showAll="0"/>
    <pivotField numFmtId="49" showAll="0"/>
    <pivotField showAll="0"/>
    <pivotField showAll="0"/>
    <pivotField showAll="0"/>
    <pivotField showAll="0"/>
    <pivotField showAll="0"/>
    <pivotField showAll="0"/>
    <pivotField numFmtId="169" showAll="0"/>
    <pivotField showAll="0"/>
    <pivotField showAll="0"/>
    <pivotField dragToRow="0" dragToCol="0" dragToPage="0" showAll="0" defaultSubtotal="0"/>
  </pivotFields>
  <rowFields count="1">
    <field x="9"/>
  </rowFields>
  <rowItems count="5">
    <i>
      <x/>
    </i>
    <i>
      <x v="1"/>
    </i>
    <i>
      <x v="2"/>
    </i>
    <i>
      <x v="3"/>
    </i>
    <i>
      <x v="4"/>
    </i>
  </rowItems>
  <colItems count="1">
    <i/>
  </colItems>
  <formats count="1">
    <format dxfId="1756">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YPE_DE_CONTRAT1" xr10:uid="{58A120B2-5CA8-5E46-BD8C-AB33C633CC75}" sourceName="TYPE DE CONTRAT">
  <pivotTables>
    <pivotTable tabId="64" name="Tableau croisé dynamique6"/>
    <pivotTable tabId="64" name="Tableau croisé dynamique2"/>
    <pivotTable tabId="64" name="Tableau croisé dynamique7"/>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ortOrder="descending" showMissing="0" crossFilter="showItemsWithNoData">
      <items count="5">
        <i x="0" s="1"/>
        <i x="2" nd="1"/>
        <i x="1" nd="1"/>
        <i x="3" nd="1"/>
        <i x="4"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ERVICE" xr10:uid="{B5422239-3358-7B48-A390-B71386844536}" sourceName="SERVICE">
  <pivotTables>
    <pivotTable tabId="50" name="Tableau croisé dynamique6"/>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7"/>
    <pivotTable tabId="50" name="Tableau croisé dynamique56"/>
    <pivotTable tabId="50" name="Tableau croisé dynamique57"/>
  </pivotTables>
  <data>
    <tabular pivotCacheId="775253640" showMissing="0" crossFilter="showItemsWithNoData">
      <items count="4">
        <i x="2" s="1"/>
        <i x="0" s="1"/>
        <i x="1" s="1"/>
        <i x="3"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METIER" xr10:uid="{0A3CB98C-45B7-0440-90AF-8923F2455DCA}" sourceName="METIER">
  <pivotTables>
    <pivotTable tabId="50" name="Tableau croisé dynamique6"/>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7"/>
    <pivotTable tabId="50" name="Tableau croisé dynamique56"/>
    <pivotTable tabId="50" name="Tableau croisé dynamique57"/>
  </pivotTables>
  <data>
    <tabular pivotCacheId="775253640" showMissing="0" crossFilter="showItemsWithNoData">
      <items count="6">
        <i x="2" s="1"/>
        <i x="3" s="1"/>
        <i x="4" s="1"/>
        <i x="1" s="1"/>
        <i x="0" s="1"/>
        <i x="5"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MPLOI" xr10:uid="{C6C38A2B-503F-744C-B753-7D203275FDDF}" sourceName="EMPLOI">
  <pivotTables>
    <pivotTable tabId="50" name="Tableau croisé dynamique6"/>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7"/>
    <pivotTable tabId="50" name="Tableau croisé dynamique56"/>
    <pivotTable tabId="50" name="Tableau croisé dynamique57"/>
  </pivotTables>
  <data>
    <tabular pivotCacheId="775253640" showMissing="0" crossFilter="showItemsWithNoData">
      <items count="14">
        <i x="8" s="1"/>
        <i x="11" s="1"/>
        <i x="9" s="1"/>
        <i x="4" s="1"/>
        <i x="7" s="1"/>
        <i x="1" s="1"/>
        <i x="5" s="1"/>
        <i x="10" s="1"/>
        <i x="12" s="1"/>
        <i x="0" s="1"/>
        <i x="2" s="1"/>
        <i x="6" s="1"/>
        <i x="3" s="1"/>
        <i x="13"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ranches_d_âge_Index" xr10:uid="{5AF39E6F-6924-2342-929E-9081BC7F0867}" sourceName="Tranches d'âge Index">
  <pivotTables>
    <pivotTable tabId="50" name="Tableau croisé dynamique6"/>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7"/>
    <pivotTable tabId="50" name="Tableau croisé dynamique56"/>
    <pivotTable tabId="50" name="Tableau croisé dynamique57"/>
  </pivotTables>
  <data>
    <tabular pivotCacheId="775253640" showMissing="0" crossFilter="showItemsWithNoData">
      <items count="9">
        <i x="2" s="1"/>
        <i x="1" s="1"/>
        <i x="0" s="1"/>
        <i x="3" s="1"/>
        <i x="4" s="1" nd="1"/>
        <i x="6" s="1" nd="1"/>
        <i x="7" s="1" nd="1"/>
        <i x="8" s="1" nd="1"/>
        <i x="5"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ranche_ancienneté" xr10:uid="{1D0ACFFB-82C6-5746-9FC3-EBE2801F94F2}" sourceName="Tranche ancienneté">
  <pivotTables>
    <pivotTable tabId="50" name="Tableau croisé dynamique6"/>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7"/>
    <pivotTable tabId="50" name="Tableau croisé dynamique56"/>
    <pivotTable tabId="50" name="Tableau croisé dynamique57"/>
  </pivotTables>
  <data>
    <tabular pivotCacheId="775253640" showMissing="0" crossFilter="showItemsWithNoData">
      <items count="10">
        <i x="8" s="1"/>
        <i x="7" s="1"/>
        <i x="6" s="1"/>
        <i x="5" s="1"/>
        <i x="4" s="1"/>
        <i x="0" s="1"/>
        <i x="3" s="1"/>
        <i x="2" s="1"/>
        <i x="1" s="1"/>
        <i x="9"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UREE_DU_TRAVAIL" xr10:uid="{54D91728-CE11-E844-ADA7-D34B586E6EB5}" sourceName="DUREE DU TRAVAIL">
  <pivotTables>
    <pivotTable tabId="50" name="Tableau croisé dynamique6"/>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7"/>
    <pivotTable tabId="50" name="Tableau croisé dynamique56"/>
    <pivotTable tabId="50" name="Tableau croisé dynamique57"/>
  </pivotTables>
  <data>
    <tabular pivotCacheId="775253640" showMissing="0" crossFilter="showItemsWithNoData">
      <items count="3">
        <i x="1" s="1"/>
        <i x="0" s="1"/>
        <i x="2"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ATEGORIE1" xr10:uid="{F2B835D2-31AD-B144-AACB-72B72923EC49}" sourceName="CATEGORIE">
  <pivotTables>
    <pivotTable tabId="46" name="Tableau croisé dynamique2"/>
    <pivotTable tabId="46" name="PivotTable11"/>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22">
        <i x="0" s="1"/>
        <i x="2" s="1"/>
        <i x="1" s="1"/>
        <i x="3" s="1"/>
        <i x="7" s="1" nd="1"/>
        <i x="20" s="1" nd="1"/>
        <i x="5" s="1" nd="1"/>
        <i x="6" s="1" nd="1"/>
        <i x="15" s="1" nd="1"/>
        <i x="13" s="1" nd="1"/>
        <i x="21" s="1" nd="1"/>
        <i x="12" s="1" nd="1"/>
        <i x="14" s="1" nd="1"/>
        <i x="16" s="1" nd="1"/>
        <i x="9" s="1" nd="1"/>
        <i x="19" s="1" nd="1"/>
        <i x="8" s="1" nd="1"/>
        <i x="11" s="1" nd="1"/>
        <i x="17" s="1" nd="1"/>
        <i x="18" s="1" nd="1"/>
        <i x="10" s="1" nd="1"/>
        <i x="4"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SERVICE1" xr10:uid="{D19C6BF6-5AA3-624E-8CE4-1F51D9F43F81}" sourceName="SERVICE">
  <pivotTables>
    <pivotTable tabId="46" name="Tableau croisé dynamique2"/>
    <pivotTable tabId="46" name="PivotTable11"/>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4">
        <i x="2" s="1"/>
        <i x="0" s="1"/>
        <i x="1" s="1"/>
        <i x="3"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METIER2" xr10:uid="{B5F524F5-11DC-8147-AC29-237C81FC34C3}" sourceName="METIER">
  <pivotTables>
    <pivotTable tabId="46" name="Tableau croisé dynamique2"/>
    <pivotTable tabId="46" name="PivotTable11"/>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6">
        <i x="2" s="1"/>
        <i x="3" s="1"/>
        <i x="4" s="1"/>
        <i x="1" s="1"/>
        <i x="0" s="1"/>
        <i x="5"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MPLOI2" xr10:uid="{894CE2D1-DB44-B849-988B-12251D16C665}" sourceName="EMPLOI">
  <pivotTables>
    <pivotTable tabId="46" name="Tableau croisé dynamique2"/>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14">
        <i x="8" s="1"/>
        <i x="11" s="1"/>
        <i x="9" s="1"/>
        <i x="4" s="1"/>
        <i x="7" s="1"/>
        <i x="1" s="1"/>
        <i x="5" s="1"/>
        <i x="10" s="1"/>
        <i x="12" s="1"/>
        <i x="0" s="1"/>
        <i x="2" s="1"/>
        <i x="6" s="1"/>
        <i x="3" s="1"/>
        <i x="1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UVELLE_COTATION_PROPRE1" xr10:uid="{33703BBB-09C0-9444-B6C5-810106822042}" sourceName="NOUVELLE COTATION PROPRE">
  <pivotTables>
    <pivotTable tabId="64" name="Tableau croisé dynamique6"/>
    <pivotTable tabId="64" name="Tableau croisé dynamique2"/>
    <pivotTable tabId="64" name="Tableau croisé dynamique7"/>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crossFilter="showItemsWithNoData">
      <items count="4">
        <i x="0" s="1"/>
        <i x="1" s="1"/>
        <i x="2" s="1"/>
        <i x="3"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UREE_DU_TRAVAIL2" xr10:uid="{AE932D99-5CF2-7545-A7EF-75FF395296F5}" sourceName="DUREE DU TRAVAIL">
  <pivotTables>
    <pivotTable tabId="46" name="Tableau croisé dynamique2"/>
    <pivotTable tabId="46" name="PivotTable11"/>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3">
        <i x="1" s="1"/>
        <i x="0" s="1"/>
        <i x="2"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ranches_d_âge_Index2" xr10:uid="{F18B2B40-DDAB-A449-9247-F753964CF429}" sourceName="Tranches d'âge Index">
  <pivotTables>
    <pivotTable tabId="46" name="Tableau croisé dynamique2"/>
    <pivotTable tabId="46" name="PivotTable11"/>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9">
        <i x="2" s="1"/>
        <i x="1" s="1"/>
        <i x="0" s="1"/>
        <i x="3" s="1"/>
        <i x="4" s="1" nd="1"/>
        <i x="6" s="1" nd="1"/>
        <i x="7" s="1" nd="1"/>
        <i x="8" s="1" nd="1"/>
        <i x="5"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ranche_ancienneté2" xr10:uid="{B428A1C2-A260-004C-804D-F2934459C6EA}" sourceName="Tranche ancienneté">
  <pivotTables>
    <pivotTable tabId="46" name="Tableau croisé dynamique2"/>
    <pivotTable tabId="46" name="PivotTable11"/>
    <pivotTable tabId="46" name="Tableau croisé dynamique42"/>
    <pivotTable tabId="46" name="Tableau croisé dynamique43"/>
    <pivotTable tabId="46" name="Tableau croisé dynamique44"/>
    <pivotTable tabId="46" name="Tableau croisé dynamique45"/>
    <pivotTable tabId="46" name="Tableau croisé dynamique46"/>
    <pivotTable tabId="46" name="Tableau croisé dynamique47"/>
    <pivotTable tabId="46" name="Tableau croisé dynamique48"/>
    <pivotTable tabId="46" name="Tableau croisé dynamique49"/>
    <pivotTable tabId="46" name="Tableau croisé dynamique50"/>
    <pivotTable tabId="46" name="Tableau croisé dynamique51"/>
    <pivotTable tabId="46" name="Tableau croisé dynamique52"/>
    <pivotTable tabId="46" name="Tableau croisé dynamique53"/>
    <pivotTable tabId="46" name="Tableau croisé dynamique6"/>
    <pivotTable tabId="46" name="Tableau croisé dynamique7"/>
  </pivotTables>
  <data>
    <tabular pivotCacheId="775253640" showMissing="0" crossFilter="showItemsWithNoData">
      <items count="10">
        <i x="8" s="1"/>
        <i x="7" s="1"/>
        <i x="6" s="1"/>
        <i x="5" s="1"/>
        <i x="4" s="1"/>
        <i x="0" s="1"/>
        <i x="3" s="1"/>
        <i x="2" s="1"/>
        <i x="1" s="1"/>
        <i x="9"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ranches_d_âge_Index1" xr10:uid="{C7A23C94-7AF7-A74C-8D85-5712CDB8F7E0}" sourceName="Tranches d'âge Index">
  <pivotTables>
    <pivotTable tabId="64" name="Tableau croisé dynamique6"/>
    <pivotTable tabId="64" name="Tableau croisé dynamique2"/>
    <pivotTable tabId="64" name="Tableau croisé dynamique7"/>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crossFilter="showItemsWithNoData">
      <items count="9">
        <i x="2" s="1"/>
        <i x="1" s="1"/>
        <i x="0" s="1"/>
        <i x="3" s="1"/>
        <i x="4" s="1" nd="1"/>
        <i x="6" s="1" nd="1"/>
        <i x="7" s="1" nd="1"/>
        <i x="8" s="1" nd="1"/>
        <i x="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UREE_DU_TRAVAIL1" xr10:uid="{49CDF326-BAA2-074E-9A7B-DE314C4B95BB}" sourceName="DUREE DU TRAVAIL">
  <pivotTables>
    <pivotTable tabId="64" name="Tableau croisé dynamique7"/>
    <pivotTable tabId="64" name="Tableau croisé dynamique2"/>
    <pivotTable tabId="64" name="Tableau croisé dynamique6"/>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items count="3">
        <i x="1" s="1"/>
        <i x="0" s="1"/>
        <i x="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Tranche_ancienneté1" xr10:uid="{2290430C-6123-AC44-B92B-F90278B46C0F}" sourceName="Tranche ancienneté">
  <pivotTables>
    <pivotTable tabId="64" name="Tableau croisé dynamique7"/>
    <pivotTable tabId="64" name="Tableau croisé dynamique2"/>
    <pivotTable tabId="64" name="Tableau croisé dynamique6"/>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crossFilter="showItemsWithNoData">
      <items count="10">
        <i x="8" s="1"/>
        <i x="7" s="1"/>
        <i x="6" s="1"/>
        <i x="5" s="1"/>
        <i x="4" s="1"/>
        <i x="0" s="1"/>
        <i x="3" s="1"/>
        <i x="2" s="1"/>
        <i x="1" s="1"/>
        <i x="9"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EMPLOI1" xr10:uid="{B3070589-CE91-7644-B9EA-E6E45CB3D1F0}" sourceName="EMPLOI">
  <pivotTables>
    <pivotTable tabId="64" name="Tableau croisé dynamique6"/>
    <pivotTable tabId="64" name="Tableau croisé dynamique2"/>
    <pivotTable tabId="64" name="Tableau croisé dynamique7"/>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crossFilter="showItemsWithNoData">
      <items count="14">
        <i x="8" s="1"/>
        <i x="11" s="1"/>
        <i x="9" s="1"/>
        <i x="4" s="1"/>
        <i x="7" s="1"/>
        <i x="1" s="1"/>
        <i x="5" s="1"/>
        <i x="10" s="1"/>
        <i x="12" s="1"/>
        <i x="0" s="1"/>
        <i x="2" s="1"/>
        <i x="6" s="1"/>
        <i x="3" s="1"/>
        <i x="13"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METIER1" xr10:uid="{AA29758D-27D3-F940-8282-C579C1CEB1EB}" sourceName="METIER">
  <pivotTables>
    <pivotTable tabId="64" name="Tableau croisé dynamique7"/>
    <pivotTable tabId="64" name="Tableau croisé dynamique2"/>
    <pivotTable tabId="64" name="Tableau croisé dynamique6"/>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crossFilter="showItemsWithNoData">
      <items count="6">
        <i x="2" s="1"/>
        <i x="3" s="1"/>
        <i x="4" s="1"/>
        <i x="1" s="1"/>
        <i x="0" s="1"/>
        <i x="5"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OEF_BRANCHE1" xr10:uid="{6927CF3C-8F59-C348-91FF-4A0292A1F417}" sourceName="COEF BRANCHE">
  <pivotTables>
    <pivotTable tabId="64" name="Tableau croisé dynamique7"/>
    <pivotTable tabId="64" name="Tableau croisé dynamique2"/>
    <pivotTable tabId="64" name="Tableau croisé dynamique6"/>
    <pivotTable tabId="64" name="Tableau croisé dynamique1"/>
    <pivotTable tabId="64" name="Tableau croisé dynamique13"/>
    <pivotTable tabId="64" name="Tableau croisé dynamique14"/>
    <pivotTable tabId="64" name="Tableau croisé dynamique15"/>
    <pivotTable tabId="64" name="Tableau croisé dynamique16"/>
    <pivotTable tabId="64" name="Tableau croisé dynamique17"/>
    <pivotTable tabId="64" name="Tableau croisé dynamique18"/>
    <pivotTable tabId="64" name="Tableau croisé dynamique19"/>
    <pivotTable tabId="64" name="Tableau croisé dynamique20"/>
    <pivotTable tabId="64" name="Tableau croisé dynamique21"/>
    <pivotTable tabId="64" name="Tableau croisé dynamique22"/>
    <pivotTable tabId="64" name="Tableau croisé dynamique23"/>
    <pivotTable tabId="64" name="Tableau croisé dynamique24"/>
    <pivotTable tabId="64" name="Tableau croisé dynamique25"/>
    <pivotTable tabId="64" name="Tableau croisé dynamique26"/>
    <pivotTable tabId="64" name="Tableau croisé dynamique3"/>
    <pivotTable tabId="64" name="Tableau croisé dynamique4"/>
    <pivotTable tabId="64" name="Tableau croisé dynamique5"/>
    <pivotTable tabId="64" name="Tableau croisé dynamique8"/>
    <pivotTable tabId="64" name="Tableau croisé dynamique9"/>
  </pivotTables>
  <data>
    <tabular pivotCacheId="775253640" showMissing="0" crossFilter="showItemsWithNoData">
      <items count="6">
        <i x="4" s="1"/>
        <i x="0" s="1"/>
        <i x="1" s="1"/>
        <i x="2" s="1"/>
        <i x="3" s="1"/>
        <i x="5"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ATEGORIE" xr10:uid="{7CE16D9D-84F8-E54C-AF9B-6EBE204B233E}" sourceName="CATEGORIE">
  <pivotTables>
    <pivotTable tabId="50" name="PivotTable10"/>
    <pivotTable tabId="50" name="PivotTable11"/>
    <pivotTable tabId="50" name="Tableau croisé dynamique1"/>
    <pivotTable tabId="50" name="Tableau croisé dynamique2"/>
    <pivotTable tabId="50" name="Tableau croisé dynamique30"/>
    <pivotTable tabId="50" name="Tableau croisé dynamique31"/>
    <pivotTable tabId="50" name="Tableau croisé dynamique32"/>
    <pivotTable tabId="50" name="Tableau croisé dynamique33"/>
    <pivotTable tabId="50" name="Tableau croisé dynamique34"/>
    <pivotTable tabId="50" name="Tableau croisé dynamique35"/>
    <pivotTable tabId="50" name="Tableau croisé dynamique36"/>
    <pivotTable tabId="50" name="Tableau croisé dynamique37"/>
    <pivotTable tabId="50" name="Tableau croisé dynamique38"/>
    <pivotTable tabId="50" name="Tableau croisé dynamique39"/>
    <pivotTable tabId="50" name="Tableau croisé dynamique6"/>
    <pivotTable tabId="50" name="Tableau croisé dynamique7"/>
    <pivotTable tabId="50" name="Tableau croisé dynamique56"/>
    <pivotTable tabId="50" name="Tableau croisé dynamique57"/>
  </pivotTables>
  <data>
    <tabular pivotCacheId="775253640" showMissing="0" crossFilter="showItemsWithNoData">
      <items count="22">
        <i x="0" s="1"/>
        <i x="2" s="1"/>
        <i x="1" s="1"/>
        <i x="3" s="1"/>
        <i x="7" s="1" nd="1"/>
        <i x="20" s="1" nd="1"/>
        <i x="5" s="1" nd="1"/>
        <i x="6" s="1" nd="1"/>
        <i x="15" s="1" nd="1"/>
        <i x="13" s="1" nd="1"/>
        <i x="21" s="1" nd="1"/>
        <i x="12" s="1" nd="1"/>
        <i x="14" s="1" nd="1"/>
        <i x="16" s="1" nd="1"/>
        <i x="9" s="1" nd="1"/>
        <i x="19" s="1" nd="1"/>
        <i x="8" s="1" nd="1"/>
        <i x="11" s="1" nd="1"/>
        <i x="17" s="1" nd="1"/>
        <i x="18" s="1" nd="1"/>
        <i x="10"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DE CONTRAT 4" xr10:uid="{F205F83C-4DBF-E444-B686-010492ECA2C9}" cache="Segment_TYPE_DE_CONTRAT1" caption="TYPE DE CONTRAT" rowHeight="209550"/>
  <slicer name="NOUVELLE COTATION PROPRE 4" xr10:uid="{9C9F40A4-3FE2-F644-AFD6-2E132F0B152B}" cache="Segment_NOUVELLE_COTATION_PROPRE1" caption="NOUVELLE COTATION PROPRE" rowHeight="209550"/>
  <slicer name="Tranches d'âge Index" xr10:uid="{6D6B2415-0544-A148-880B-337F89D68033}" cache="Segment_Tranches_d_âge_Index1" caption="Tranches d'âge Index" rowHeight="209550"/>
  <slicer name="DUREE DU TRAVAIL 4" xr10:uid="{CBA9FCF9-8EEA-A247-AC62-51CCD1472FEF}" cache="Segment_DUREE_DU_TRAVAIL1" caption="DUREE DU TRAVAIL" rowHeight="209550"/>
  <slicer name="Tranche ancienneté" xr10:uid="{C28DC380-FF68-1847-8EEC-979150D50652}" cache="Segment_Tranche_ancienneté1" caption="Tranche ancienneté" rowHeight="209550"/>
  <slicer name="EMPLOI 4" xr10:uid="{45D710B0-5F87-3648-9BF5-271C40E90E1E}" cache="Segment_EMPLOI1" caption="EMPLOI" columnCount="2" rowHeight="209550"/>
  <slicer name="METIER 4" xr10:uid="{096175F9-AC71-7041-A31E-0C7D1D4F8E58}" cache="Segment_METIER1" caption="METIER" rowHeight="209550"/>
  <slicer name="COEF BRANCHE 4" xr10:uid="{9A754CFD-98A6-F140-93BC-B6FBB45BD00F}" cache="Segment_COEF_BRANCHE1" caption="COEF BRANCHE" rowHeight="209550"/>
  <slicer name="CATEGORIE 4" xr10:uid="{D02AC46F-F9A4-5948-A5F5-62E41F55207F}" cache="Segment_CATEGORIE" caption="CATEGORIE"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E" xr10:uid="{F7FB7A62-2112-B246-A901-A86ED551250C}" cache="Segment_CATEGORIE" caption="CATEGORIE" rowHeight="209550"/>
  <slicer name="SERVICE" xr10:uid="{72A11DC1-0D51-844D-AB09-F5A97F51065A}" cache="Segment_SERVICE" caption="SERVICE" rowHeight="209550"/>
  <slicer name="METIER" xr10:uid="{D682C0E2-082C-1143-ABEF-A2DB4C750030}" cache="Segment_METIER" caption="METIER" rowHeight="209550"/>
  <slicer name="EMPLOI" xr10:uid="{B6C6AFF0-80FE-3B48-B0AC-11D235FDE728}" cache="Segment_EMPLOI" caption="EMPLOI" columnCount="2" rowHeight="209550"/>
  <slicer name="Tranches d'âge Index 1" xr10:uid="{D8A83AAC-0F11-8741-A95B-833923002215}" cache="Segment_Tranches_d_âge_Index" caption="Tranches d'âge Index" rowHeight="209550"/>
  <slicer name="Tranche ancienneté 1" xr10:uid="{67EDADEE-E547-1441-914F-874CF9D6AC63}" cache="Segment_Tranche_ancienneté" caption="Tranche ancienneté" startItem="1" rowHeight="209550"/>
  <slicer name="DUREE DU TRAVAIL" xr10:uid="{C002BF89-4573-7742-970C-98E9083CCE18}" cache="Segment_DUREE_DU_TRAVAIL" caption="DUREE DU TRAVAIL"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E 2" xr10:uid="{D554C129-1B1F-1644-B4A9-F443AD429BAB}" cache="Segment_CATEGORIE1" caption="CATEGORIE" rowHeight="209550"/>
  <slicer name="SERVICE 2" xr10:uid="{A34681EC-1991-1D45-B363-5C18F557FF93}" cache="Segment_SERVICE1" caption="SERVICE" rowHeight="209550"/>
  <slicer name="METIER 1" xr10:uid="{2ED4D6E2-310A-C742-999B-DB6D6B8E1050}" cache="Segment_METIER2" caption="METIER" rowHeight="209550"/>
  <slicer name="EMPLOI 1" xr10:uid="{555215F0-2838-5E4C-A219-C8CC91C7F8FC}" cache="Segment_EMPLOI2" caption="EMPLOI" columnCount="2" rowHeight="209550"/>
  <slicer name="DUREE DU TRAVAIL 1" xr10:uid="{EF3A9463-C33E-8747-B1D5-0947AB6C9564}" cache="Segment_DUREE_DU_TRAVAIL2" caption="DUREE DU TRAVAIL" rowHeight="209550"/>
  <slicer name="Tranches d'âge Index 3" xr10:uid="{4540BF35-3253-4141-8F7C-FC245CA5C257}" cache="Segment_Tranches_d_âge_Index2" caption="Tranches d'âge Index" rowHeight="209550"/>
  <slicer name="Tranche ancienneté 2" xr10:uid="{DA2C5A40-2413-9D4D-B90C-F01DC3885456}" cache="Segment_Tranche_ancienneté2" caption="Tranche ancienneté" rowHeight="2095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02BFAE-49B0-A74B-8E8A-808D4EC5C88B}" name="données" displayName="données" ref="A14:AI334" totalsRowShown="0" headerRowDxfId="1795" dataDxfId="1794" tableBorderDxfId="1793">
  <autoFilter ref="A14:AI334" xr:uid="{00000000-0009-0000-0000-000005000000}"/>
  <tableColumns count="35">
    <tableColumn id="1" xr3:uid="{3736B85B-E1A5-544D-81E7-1D55B298DF10}" name="NOM" dataDxfId="1792"/>
    <tableColumn id="2" xr3:uid="{6BC16AF8-7B45-E348-993C-53F92AD1BF51}" name="SEXE" dataDxfId="1791"/>
    <tableColumn id="3" xr3:uid="{C0BEC380-E629-604D-BE1E-19FB9FDF756D}" name="DATE NAISSANCE" dataDxfId="1790"/>
    <tableColumn id="4" xr3:uid="{12E2CC47-D144-9945-B4E0-86E0F5079E8D}" name="DATE EMBAUCHE" dataDxfId="1789" dataCellStyle="Milliers"/>
    <tableColumn id="5" xr3:uid="{D208B150-EF75-0146-8142-0EFA2908E6C0}" name="DIPLÔME" dataDxfId="1788"/>
    <tableColumn id="6" xr3:uid="{03C2F1C4-3A4F-D94E-AD1F-5BF010D57061}" name="CATEGORIE" dataDxfId="1787"/>
    <tableColumn id="7" xr3:uid="{A331E631-AFC3-0443-8205-F80D71EF7795}" name="COEF BRANCHE" dataDxfId="1786"/>
    <tableColumn id="8" xr3:uid="{7D6BD718-6BB6-B74E-B311-8C2ED8C7182C}" name="NOUVELLE COTATION PROPRE" dataDxfId="1785"/>
    <tableColumn id="9" xr3:uid="{F3D7A8EC-9F5A-9841-94F2-FA9B6A954AE0}" name="SERVICE" dataDxfId="1784"/>
    <tableColumn id="10" xr3:uid="{727EFD18-D389-FD4F-89CA-FEFD17217C31}" name="METIER" dataDxfId="1783"/>
    <tableColumn id="11" xr3:uid="{D9B98F41-C69D-C148-B7F9-FB2380813E4C}" name="EMPLOI" dataDxfId="1782"/>
    <tableColumn id="12" xr3:uid="{A1C96F0B-EA47-2343-8433-9B295D6AC56C}" name="TYPE DE CONTRAT" dataDxfId="1781">
      <calculatedColumnFormula>"salarié"</calculatedColumnFormula>
    </tableColumn>
    <tableColumn id="13" xr3:uid="{61BDAEC2-02F2-E64E-8FB1-DC53683A0341}" name="CONTRAT" dataDxfId="1780"/>
    <tableColumn id="14" xr3:uid="{4E06F4C9-6BCB-6546-BB5B-F013247CA2F2}" name="DUREE DU TRAVAIL" dataDxfId="1779"/>
    <tableColumn id="15" xr3:uid="{B878212F-6275-B045-A5D0-6C3FC2A574C0}" name="TAUX ACTIVITE" dataDxfId="1778"/>
    <tableColumn id="16" xr3:uid="{16951463-B878-B84E-A534-6B36565D1CD8}" name="HORAIRES" dataDxfId="1777"/>
    <tableColumn id="17" xr3:uid="{2D8A4463-9E44-E943-AABA-E72B43AA21A4}" name="COEF" dataDxfId="1776"/>
    <tableColumn id="18" xr3:uid="{F02846BA-220F-6248-BE92-0EFCF7C2C85D}" name="PROMOTION" dataDxfId="1775"/>
    <tableColumn id="19" xr3:uid="{546DF93B-A6C1-F14B-B738-3EA176992CFC}" name="HEURES FORMATION" dataDxfId="1774"/>
    <tableColumn id="20" xr3:uid="{CA0BE61A-19AC-834C-A918-96C0FC4AFA00}" name="REMUNERATION" dataDxfId="1773" dataCellStyle="Milliers"/>
    <tableColumn id="21" xr3:uid="{094C1442-74F9-D449-8C64-BB941B1E437A}" name="18441,71692" dataDxfId="1772" dataCellStyle="Milliers"/>
    <tableColumn id="22" xr3:uid="{9E5DA8B7-E886-6240-9C95-B208C4F8AB44}" name="PRIMES, INDEMNITES ET AVANTAGES EN NATURE / ETP ANNUEL" dataDxfId="1771"/>
    <tableColumn id="23" xr3:uid="{5930F00A-23F9-3740-9903-FC246A707289}" name="AUGMEN-TATION" dataDxfId="1770"/>
    <tableColumn id="24" xr3:uid="{D535DBA0-6FA6-DE44-826E-F520071EB725}" name="NOMBRE DE MALADIES PROFESSIONNELLES" dataDxfId="1769"/>
    <tableColumn id="25" xr3:uid="{41F216CC-DBE4-0E4D-A674-9F1CC29DA221}" name="NOMBRE D'ACCIDENTS DU TRAVAIL" dataDxfId="1768"/>
    <tableColumn id="26" xr3:uid="{4144F5C6-9D5C-2A41-8470-81A56866983F}" name="RETOUR DE CONGE MATERNITE/ADOPTION" dataDxfId="1767"/>
    <tableColumn id="27" xr3:uid="{2E137863-3A46-1242-A98D-7BF67B847387}" name="TELETRAVAIL" dataDxfId="1766"/>
    <tableColumn id="28" xr3:uid="{16A4B3A6-84D6-7F4B-9164-5E7E0A0BC452}" name="Age" dataDxfId="1765">
      <calculatedColumnFormula>IF(ISBLANK(C15),"",DATEDIF(C15,dref,"y"))</calculatedColumnFormula>
    </tableColumn>
    <tableColumn id="29" xr3:uid="{40D71BF8-7031-074F-BA0B-CEA34CDC4590}" name="Ancienneté" dataDxfId="1764">
      <calculatedColumnFormula>IF(ISBLANK(C15),"",DATEDIF(D15,dref,"y"))</calculatedColumnFormula>
    </tableColumn>
    <tableColumn id="30" xr3:uid="{5FC7DC98-C353-1749-AB67-335A6FD01031}" name="Tranches d'âge Index" dataDxfId="1763">
      <calculatedColumnFormula>IF(AB15="","",VLOOKUP(AB15,trancheage[],2,TRUE))</calculatedColumnFormula>
    </tableColumn>
    <tableColumn id="31" xr3:uid="{935FFD03-D3FD-FD4E-999C-5EF6DF19E89A}" name="Tranche ancienneté" dataDxfId="1762">
      <calculatedColumnFormula>IFERROR(VLOOKUP(AC15,trancheanciennete[],2,TRUE),"")</calculatedColumnFormula>
    </tableColumn>
    <tableColumn id="32" xr3:uid="{DD915DEF-EB52-D447-A7D9-DC9A6EAD062C}" name="Tranches rémunération" dataDxfId="1761">
      <calculatedColumnFormula>IF(T15&gt;0,VLOOKUP(T15,Trancheremuneration[],2,TRUE),"")</calculatedColumnFormula>
    </tableColumn>
    <tableColumn id="33" xr3:uid="{8B82F378-5CF6-444C-987A-D65B83733C00}" name="Rémunération annuelle brute en ETP" dataDxfId="0" dataCellStyle="Milliers">
      <calculatedColumnFormula>IF((U15*(1+(100%-O15)))+V15=0,"",(U15*(1+(100%-O15)))+V15)</calculatedColumnFormula>
    </tableColumn>
    <tableColumn id="34" xr3:uid="{3DB337FA-4FE6-F844-95F2-99E89D7D294D}" name="Croisement" dataDxfId="1760">
      <calculatedColumnFormula>IF(coefchoisi=$AS$15,F15,IF(coefchoisi=$AS$16,G15,IF(coefchoisi=$AS$17,H15,1)))</calculatedColumnFormula>
    </tableColumn>
    <tableColumn id="35" xr3:uid="{2F4BDB5D-56B1-4849-9CE4-240A4DB8B781}" name="affichage" dataDxfId="1759"/>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6763A52-4979-BD49-ACA6-3F9FD57BD010}" name="contrat" displayName="contrat" ref="S6:S9" totalsRowShown="0">
  <autoFilter ref="S6:S9" xr:uid="{11CBDCD2-008E-3643-A499-A51A3F42F1A5}"/>
  <tableColumns count="1">
    <tableColumn id="1" xr3:uid="{E1D11A5B-5B4B-E34B-B9A5-169C679EA945}" name="CONTRAT"/>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E260B3A-03B3-434E-9C52-7DF0048E57FC}" name="duréetravail" displayName="duréetravail" ref="U6:U8" totalsRowShown="0">
  <autoFilter ref="U6:U8" xr:uid="{3E31193C-5BC0-F740-B4BE-CC3108859A88}"/>
  <tableColumns count="1">
    <tableColumn id="1" xr3:uid="{915C90EF-5C25-1248-B069-5D48D6D0F00D}" name="DUREE DU TRAVAIL"/>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CBEB9D6-2E3C-3A44-9FE6-281D602F47B4}" name="horaires" displayName="horaires" ref="W6:W8" totalsRowShown="0">
  <autoFilter ref="W6:W8" xr:uid="{3905E19C-F774-9747-9923-F18283BFFE3F}"/>
  <tableColumns count="1">
    <tableColumn id="1" xr3:uid="{308ACF0D-5D44-E341-8260-4095BDD38EF7}" name="HORAIRES"/>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325EC99-9F11-594C-AEC5-3DA2B4C298C0}" name="trancheage" displayName="trancheage" ref="AA6:AB10" totalsRowShown="0">
  <autoFilter ref="AA6:AB10" xr:uid="{71F798B2-C798-2F4B-A361-2709A1A0DD89}"/>
  <sortState xmlns:xlrd2="http://schemas.microsoft.com/office/spreadsheetml/2017/richdata2" ref="AA7:AB10">
    <sortCondition ref="AB7:AB10" customList="Moins de 30 ans,30 à 39 ans,40 à 49 ans,50 ans et plus"/>
  </sortState>
  <tableColumns count="2">
    <tableColumn id="1" xr3:uid="{CEFE17F0-7576-6648-AD93-04048B5C80C0}" name="Age"/>
    <tableColumn id="2" xr3:uid="{E36A1AF6-E5E1-A940-8395-F00A188B077C}" name="tranche d'age"/>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B9F4A35-083E-C943-A9AC-7688822F4430}" name="trancheanciennete" displayName="trancheanciennete" ref="AD6:AE17" totalsRowShown="0" headerRowDxfId="1745">
  <autoFilter ref="AD6:AE17" xr:uid="{BFA18AF6-E96C-3644-8064-A8B8DC2D3E74}"/>
  <tableColumns count="2">
    <tableColumn id="1" xr3:uid="{9E6DF15C-CDE5-854D-99FF-2A45B27BD58E}" name="ancienneté"/>
    <tableColumn id="2" xr3:uid="{A0C2D2A2-E606-C54B-B931-8444E6B7F8BF}" name="tranche ancienneté"/>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5928504-D8B0-0949-B867-1978D1E660A9}" name="Trancheremuneration" displayName="Trancheremuneration" ref="AG6:AH12" totalsRowShown="0" headerRowDxfId="1744">
  <autoFilter ref="AG6:AH12" xr:uid="{BA89B828-8215-C742-9965-A56E3D746ADF}"/>
  <tableColumns count="2">
    <tableColumn id="1" xr3:uid="{26177D64-19EE-0441-9BCB-6E0D3DD6360C}" name="rémunération"/>
    <tableColumn id="2" xr3:uid="{4BE87165-0E59-FB4E-B132-C737CFB14DEE}" name="tranche rémunératio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62EDC6E-7B35-C240-BB8D-A0982EA8EB83}" name="croisementtcd" displayName="croisementtcd" ref="AL6:AL9" totalsRowShown="0">
  <autoFilter ref="AL6:AL9" xr:uid="{D7C50F88-3143-1B4B-8923-C452FBF7CB01}"/>
  <tableColumns count="1">
    <tableColumn id="1" xr3:uid="{EDEE54AD-F0B1-6540-A435-FAC1C2FAB5F1}" name="Croisement"/>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B56D12D-8652-B049-BC26-0957006872BF}" name="niveaux" displayName="niveaux" ref="C6:C13" totalsRowShown="0" headerRowDxfId="1748">
  <autoFilter ref="C6:C13" xr:uid="{0136C4CE-BB50-E847-8056-F8922E1CD122}"/>
  <tableColumns count="1">
    <tableColumn id="1" xr3:uid="{B8C0F11A-E406-A042-9A15-5EC246C94A23}" name="Niveaux"/>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A9F40-DF66-3948-981C-67D0CD5A2F82}" name="catégorie" displayName="catégorie" ref="E6:E10" totalsRowShown="0">
  <autoFilter ref="E6:E10" xr:uid="{1D4D32BA-39B8-2C47-AA12-EBB9F79D691E}"/>
  <tableColumns count="1">
    <tableColumn id="1" xr3:uid="{3EFC98FF-63F5-C64F-B3BA-82773582A443}" name="CATEGORIE"/>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EFA30C5-1D96-854E-8873-82BA6F330F9F}" name="Tableau4" displayName="Tableau4" ref="G6:G11" totalsRowShown="0" headerRowDxfId="1747">
  <autoFilter ref="G6:G11" xr:uid="{7D5E04CC-2511-0546-B997-3BE3BC2002A1}"/>
  <tableColumns count="1">
    <tableColumn id="1" xr3:uid="{DB359F16-950F-2E4F-8048-9DC7C5857A21}" name="Coef branche"/>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6A6F225-95AD-5D4D-800C-A1A1C647304F}" name="catégpropre" displayName="catégpropre" ref="I6:I9" totalsRowShown="0" headerRowDxfId="1746">
  <autoFilter ref="I6:I9" xr:uid="{BBE83B67-F5E3-D046-9F3C-E597599C1E21}"/>
  <tableColumns count="1">
    <tableColumn id="1" xr3:uid="{B85A2A85-5D0C-9546-BC07-3C40B5433561}" name="Catégorie propre"/>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843F926-879B-B34A-B64E-01EB0463D5E6}" name="service" displayName="service" ref="K6:K9" totalsRowShown="0">
  <autoFilter ref="K6:K9" xr:uid="{E420885E-88CC-A542-B1D7-FDA2B8FB3A63}"/>
  <tableColumns count="1">
    <tableColumn id="1" xr3:uid="{843633C7-67B7-904A-9D85-A279D04DF164}" name="SERVICE"/>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4A1D96-11DB-6347-B9BE-90E57E1454EF}" name="métier" displayName="métier" ref="M6:M11" totalsRowShown="0">
  <autoFilter ref="M6:M11" xr:uid="{59538D6F-F2CE-0D43-8417-4E8CA197F8DB}"/>
  <tableColumns count="1">
    <tableColumn id="1" xr3:uid="{E1730686-38E3-CE46-BF2F-F278ECD4D2E7}" name="METIER"/>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134D548-EA56-E944-9D9A-7BEFA9D413D0}" name="emploi" displayName="emploi" ref="O6:O19" totalsRowShown="0">
  <autoFilter ref="O6:O19" xr:uid="{0B776AB3-8F41-7546-9627-28AD21E79EA5}"/>
  <tableColumns count="1">
    <tableColumn id="1" xr3:uid="{DDF4961D-261A-D947-AE5D-206F06DB8790}" name="EMPLOI"/>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847E89-4B81-0046-A419-ADFBE01F3605}" name="Typecontrat" displayName="Typecontrat" ref="Q6:Q11" totalsRowShown="0">
  <autoFilter ref="Q6:Q11" xr:uid="{7E2AC935-4C15-7348-A96E-73E8430FE4CD}"/>
  <tableColumns count="1">
    <tableColumn id="1" xr3:uid="{56EF1E65-23C4-D949-8E78-9B8A0D110DF7}" name="TYPE DE CONTRAT"/>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22.xml"/><Relationship Id="rId13" Type="http://schemas.openxmlformats.org/officeDocument/2006/relationships/pivotTable" Target="../pivotTables/pivotTable27.xml"/><Relationship Id="rId18" Type="http://schemas.openxmlformats.org/officeDocument/2006/relationships/pivotTable" Target="../pivotTables/pivotTable32.xml"/><Relationship Id="rId3" Type="http://schemas.openxmlformats.org/officeDocument/2006/relationships/pivotTable" Target="../pivotTables/pivotTable17.xml"/><Relationship Id="rId21" Type="http://schemas.openxmlformats.org/officeDocument/2006/relationships/pivotTable" Target="../pivotTables/pivotTable35.xml"/><Relationship Id="rId7" Type="http://schemas.openxmlformats.org/officeDocument/2006/relationships/pivotTable" Target="../pivotTables/pivotTable21.xml"/><Relationship Id="rId12" Type="http://schemas.openxmlformats.org/officeDocument/2006/relationships/pivotTable" Target="../pivotTables/pivotTable26.xml"/><Relationship Id="rId17" Type="http://schemas.openxmlformats.org/officeDocument/2006/relationships/pivotTable" Target="../pivotTables/pivotTable31.xml"/><Relationship Id="rId25" Type="http://schemas.microsoft.com/office/2007/relationships/slicer" Target="../slicers/slicer1.xml"/><Relationship Id="rId2" Type="http://schemas.openxmlformats.org/officeDocument/2006/relationships/pivotTable" Target="../pivotTables/pivotTable16.xml"/><Relationship Id="rId16" Type="http://schemas.openxmlformats.org/officeDocument/2006/relationships/pivotTable" Target="../pivotTables/pivotTable30.xml"/><Relationship Id="rId20" Type="http://schemas.openxmlformats.org/officeDocument/2006/relationships/pivotTable" Target="../pivotTables/pivotTable34.xml"/><Relationship Id="rId1" Type="http://schemas.openxmlformats.org/officeDocument/2006/relationships/pivotTable" Target="../pivotTables/pivotTable15.xml"/><Relationship Id="rId6" Type="http://schemas.openxmlformats.org/officeDocument/2006/relationships/pivotTable" Target="../pivotTables/pivotTable20.xml"/><Relationship Id="rId11" Type="http://schemas.openxmlformats.org/officeDocument/2006/relationships/pivotTable" Target="../pivotTables/pivotTable25.xml"/><Relationship Id="rId24" Type="http://schemas.openxmlformats.org/officeDocument/2006/relationships/drawing" Target="../drawings/drawing11.xml"/><Relationship Id="rId5" Type="http://schemas.openxmlformats.org/officeDocument/2006/relationships/pivotTable" Target="../pivotTables/pivotTable19.xml"/><Relationship Id="rId15" Type="http://schemas.openxmlformats.org/officeDocument/2006/relationships/pivotTable" Target="../pivotTables/pivotTable29.xml"/><Relationship Id="rId23" Type="http://schemas.openxmlformats.org/officeDocument/2006/relationships/pivotTable" Target="../pivotTables/pivotTable37.xml"/><Relationship Id="rId10" Type="http://schemas.openxmlformats.org/officeDocument/2006/relationships/pivotTable" Target="../pivotTables/pivotTable24.xml"/><Relationship Id="rId19" Type="http://schemas.openxmlformats.org/officeDocument/2006/relationships/pivotTable" Target="../pivotTables/pivotTable33.xml"/><Relationship Id="rId4" Type="http://schemas.openxmlformats.org/officeDocument/2006/relationships/pivotTable" Target="../pivotTables/pivotTable18.xml"/><Relationship Id="rId9" Type="http://schemas.openxmlformats.org/officeDocument/2006/relationships/pivotTable" Target="../pivotTables/pivotTable23.xml"/><Relationship Id="rId14" Type="http://schemas.openxmlformats.org/officeDocument/2006/relationships/pivotTable" Target="../pivotTables/pivotTable28.xml"/><Relationship Id="rId22" Type="http://schemas.openxmlformats.org/officeDocument/2006/relationships/pivotTable" Target="../pivotTables/pivotTable36.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45.xml"/><Relationship Id="rId13" Type="http://schemas.openxmlformats.org/officeDocument/2006/relationships/pivotTable" Target="../pivotTables/pivotTable50.xml"/><Relationship Id="rId18" Type="http://schemas.openxmlformats.org/officeDocument/2006/relationships/pivotTable" Target="../pivotTables/pivotTable55.xml"/><Relationship Id="rId3" Type="http://schemas.openxmlformats.org/officeDocument/2006/relationships/pivotTable" Target="../pivotTables/pivotTable40.xml"/><Relationship Id="rId7" Type="http://schemas.openxmlformats.org/officeDocument/2006/relationships/pivotTable" Target="../pivotTables/pivotTable44.xml"/><Relationship Id="rId12" Type="http://schemas.openxmlformats.org/officeDocument/2006/relationships/pivotTable" Target="../pivotTables/pivotTable49.xml"/><Relationship Id="rId17" Type="http://schemas.openxmlformats.org/officeDocument/2006/relationships/pivotTable" Target="../pivotTables/pivotTable54.xml"/><Relationship Id="rId2" Type="http://schemas.openxmlformats.org/officeDocument/2006/relationships/pivotTable" Target="../pivotTables/pivotTable39.xml"/><Relationship Id="rId16" Type="http://schemas.openxmlformats.org/officeDocument/2006/relationships/pivotTable" Target="../pivotTables/pivotTable53.xml"/><Relationship Id="rId20" Type="http://schemas.microsoft.com/office/2007/relationships/slicer" Target="../slicers/slicer2.xml"/><Relationship Id="rId1" Type="http://schemas.openxmlformats.org/officeDocument/2006/relationships/pivotTable" Target="../pivotTables/pivotTable38.xml"/><Relationship Id="rId6" Type="http://schemas.openxmlformats.org/officeDocument/2006/relationships/pivotTable" Target="../pivotTables/pivotTable43.xml"/><Relationship Id="rId11" Type="http://schemas.openxmlformats.org/officeDocument/2006/relationships/pivotTable" Target="../pivotTables/pivotTable48.xml"/><Relationship Id="rId5" Type="http://schemas.openxmlformats.org/officeDocument/2006/relationships/pivotTable" Target="../pivotTables/pivotTable42.xml"/><Relationship Id="rId15" Type="http://schemas.openxmlformats.org/officeDocument/2006/relationships/pivotTable" Target="../pivotTables/pivotTable52.xml"/><Relationship Id="rId10" Type="http://schemas.openxmlformats.org/officeDocument/2006/relationships/pivotTable" Target="../pivotTables/pivotTable47.xml"/><Relationship Id="rId19" Type="http://schemas.openxmlformats.org/officeDocument/2006/relationships/drawing" Target="../drawings/drawing12.xml"/><Relationship Id="rId4" Type="http://schemas.openxmlformats.org/officeDocument/2006/relationships/pivotTable" Target="../pivotTables/pivotTable41.xml"/><Relationship Id="rId9" Type="http://schemas.openxmlformats.org/officeDocument/2006/relationships/pivotTable" Target="../pivotTables/pivotTable46.xml"/><Relationship Id="rId14" Type="http://schemas.openxmlformats.org/officeDocument/2006/relationships/pivotTable" Target="../pivotTables/pivotTable51.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63.xml"/><Relationship Id="rId13" Type="http://schemas.openxmlformats.org/officeDocument/2006/relationships/pivotTable" Target="../pivotTables/pivotTable68.xml"/><Relationship Id="rId18" Type="http://schemas.microsoft.com/office/2007/relationships/slicer" Target="../slicers/slicer3.xml"/><Relationship Id="rId3" Type="http://schemas.openxmlformats.org/officeDocument/2006/relationships/pivotTable" Target="../pivotTables/pivotTable58.xml"/><Relationship Id="rId7" Type="http://schemas.openxmlformats.org/officeDocument/2006/relationships/pivotTable" Target="../pivotTables/pivotTable62.xml"/><Relationship Id="rId12" Type="http://schemas.openxmlformats.org/officeDocument/2006/relationships/pivotTable" Target="../pivotTables/pivotTable67.xml"/><Relationship Id="rId17" Type="http://schemas.openxmlformats.org/officeDocument/2006/relationships/drawing" Target="../drawings/drawing13.xml"/><Relationship Id="rId2" Type="http://schemas.openxmlformats.org/officeDocument/2006/relationships/pivotTable" Target="../pivotTables/pivotTable57.xml"/><Relationship Id="rId16" Type="http://schemas.openxmlformats.org/officeDocument/2006/relationships/pivotTable" Target="../pivotTables/pivotTable71.xml"/><Relationship Id="rId1" Type="http://schemas.openxmlformats.org/officeDocument/2006/relationships/pivotTable" Target="../pivotTables/pivotTable56.xml"/><Relationship Id="rId6" Type="http://schemas.openxmlformats.org/officeDocument/2006/relationships/pivotTable" Target="../pivotTables/pivotTable61.xml"/><Relationship Id="rId11" Type="http://schemas.openxmlformats.org/officeDocument/2006/relationships/pivotTable" Target="../pivotTables/pivotTable66.xml"/><Relationship Id="rId5" Type="http://schemas.openxmlformats.org/officeDocument/2006/relationships/pivotTable" Target="../pivotTables/pivotTable60.xml"/><Relationship Id="rId15" Type="http://schemas.openxmlformats.org/officeDocument/2006/relationships/pivotTable" Target="../pivotTables/pivotTable70.xml"/><Relationship Id="rId10" Type="http://schemas.openxmlformats.org/officeDocument/2006/relationships/pivotTable" Target="../pivotTables/pivotTable65.xml"/><Relationship Id="rId4" Type="http://schemas.openxmlformats.org/officeDocument/2006/relationships/pivotTable" Target="../pivotTables/pivotTable59.xml"/><Relationship Id="rId9" Type="http://schemas.openxmlformats.org/officeDocument/2006/relationships/pivotTable" Target="../pivotTables/pivotTable64.xml"/><Relationship Id="rId14" Type="http://schemas.openxmlformats.org/officeDocument/2006/relationships/pivotTable" Target="../pivotTables/pivotTable69.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74.xml"/><Relationship Id="rId2" Type="http://schemas.openxmlformats.org/officeDocument/2006/relationships/pivotTable" Target="../pivotTables/pivotTable73.xml"/><Relationship Id="rId1" Type="http://schemas.openxmlformats.org/officeDocument/2006/relationships/pivotTable" Target="../pivotTables/pivotTable72.x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legifrance.gouv.fr/affichCodeArticle.do?idArticle=LEGIARTI000037380125&amp;cidTexte=LEGITEXT000006072050&amp;dateTexte=20190101" TargetMode="External"/><Relationship Id="rId13" Type="http://schemas.openxmlformats.org/officeDocument/2006/relationships/hyperlink" Target="https://www.legifrance.gouv.fr/affichCodeArticle.do?idArticle=LEGIARTI000032822706&amp;cidTexte=LEGITEXT000006072050&amp;dateTexte=20160701" TargetMode="External"/><Relationship Id="rId18" Type="http://schemas.openxmlformats.org/officeDocument/2006/relationships/hyperlink" Target="https://index-egapro.travail.gouv.fr/" TargetMode="External"/><Relationship Id="rId3" Type="http://schemas.openxmlformats.org/officeDocument/2006/relationships/hyperlink" Target="https://travail-emploi.gouv.fr/droit-du-travail/egalite-professionnelle-discrimination-et-harcelement/questions-reponses-sur-le-calcul-de-l-index-de-l-egalite" TargetMode="External"/><Relationship Id="rId7" Type="http://schemas.openxmlformats.org/officeDocument/2006/relationships/hyperlink" Target="https://www.legifrance.gouv.fr/affichCodeArticle.do;jsessionid=5940C398B0824AFB81C237F63A88CAAA.tplgfr25s_3?cidTexte=LEGITEXT000006072050&amp;idArticle=LEGIARTI000035609836&amp;dateTexte=20180911&amp;categorieLien=cid" TargetMode="External"/><Relationship Id="rId12" Type="http://schemas.openxmlformats.org/officeDocument/2006/relationships/hyperlink" Target="https://www.legifrance.gouv.fr/affichCodeArticle.do?cidTexte=LEGITEXT000006072050&amp;idArticle=LEGIARTI000033024095&amp;dateTexte=&amp;categorieLien=id" TargetMode="External"/><Relationship Id="rId17" Type="http://schemas.openxmlformats.org/officeDocument/2006/relationships/hyperlink" Target="https://www.legifrance.gouv.fr/affichCodeArticle.do;jsessionid=3C22092C150DBDB5756531256ACEDC09.tplgfr25s_3?idArticle=LEGIARTI000038430967&amp;cidTexte=LEGITEXT000006072050&amp;categorieLien=id&amp;dateTexte=" TargetMode="External"/><Relationship Id="rId2" Type="http://schemas.openxmlformats.org/officeDocument/2006/relationships/hyperlink" Target="https://travail-emploi.gouv.fr/droit-du-travail/egalite-professionnelle-discrimination-et-harcelement/questions-reponses-sur-le-calcul-de-l-index-de-l-egalite" TargetMode="External"/><Relationship Id="rId16" Type="http://schemas.openxmlformats.org/officeDocument/2006/relationships/hyperlink" Target="https://www.legifrance.gouv.fr/affichCodeArticle.do;jsessionid=3C22092C150DBDB5756531256ACEDC09.tplgfr25s_3?idArticle=LEGIARTI000037389692&amp;cidTexte=LEGITEXT000006072050&amp;categorieLien=id&amp;dateTexte=" TargetMode="External"/><Relationship Id="rId1" Type="http://schemas.openxmlformats.org/officeDocument/2006/relationships/hyperlink" Target="https://travail-emploi.gouv.fr/droit-du-travail/egalite-professionnelle-discrimination-et-harcelement/questions-reponses-sur-le-calcul-de-l-index-de-l-egalite" TargetMode="External"/><Relationship Id="rId6" Type="http://schemas.openxmlformats.org/officeDocument/2006/relationships/hyperlink" Target="https://www.legifrance.gouv.fr/affichCodeArticle.do?idArticle=LEGIARTI000035609890&amp;cidTexte=LEGITEXT000006072050&amp;dateTexte=20180101" TargetMode="External"/><Relationship Id="rId11" Type="http://schemas.openxmlformats.org/officeDocument/2006/relationships/hyperlink" Target="https://www.legifrance.gouv.fr/affichCodeArticle.do;jsessionid=3C22092C150DBDB5756531256ACEDC09.tplgfr25s_3?idArticle=LEGIARTI000038620204&amp;cidTexte=LEGITEXT000006072050&amp;categorieLien=id&amp;dateTexte=" TargetMode="External"/><Relationship Id="rId5" Type="http://schemas.openxmlformats.org/officeDocument/2006/relationships/hyperlink" Target="https://www.legifrance.gouv.fr/affichCodeArticle.do?idArticle=LEGIARTI000037389078&amp;cidTexte=LEGITEXT000006072050&amp;dateTexte=20180907" TargetMode="External"/><Relationship Id="rId15" Type="http://schemas.openxmlformats.org/officeDocument/2006/relationships/hyperlink" Target="https://www.legifrance.gouv.fr/affichCodeArticle.do?idArticle=LEGIARTI000037380127&amp;cidTexte=LEGITEXT000006072050&amp;dateTexte=20190101" TargetMode="External"/><Relationship Id="rId10" Type="http://schemas.openxmlformats.org/officeDocument/2006/relationships/hyperlink" Target="https://www.legifrance.gouv.fr/affichCodeArticle.do;jsessionid=3C22092C150DBDB5756531256ACEDC09.tplgfr25s_3?idArticle=LEGIARTI000038620214&amp;cidTexte=LEGITEXT000006072050&amp;categorieLien=id&amp;dateTexte=" TargetMode="External"/><Relationship Id="rId19" Type="http://schemas.openxmlformats.org/officeDocument/2006/relationships/drawing" Target="../drawings/drawing2.xml"/><Relationship Id="rId4" Type="http://schemas.openxmlformats.org/officeDocument/2006/relationships/hyperlink" Target="https://www.legifrance.gouv.fr/affichTexte.do?cidTexte=JORFTEXT000037964765&amp;dateTexte=20200224" TargetMode="External"/><Relationship Id="rId9" Type="http://schemas.openxmlformats.org/officeDocument/2006/relationships/hyperlink" Target="https://www.legifrance.gouv.fr/affichCodeArticle.do?idArticle=LEGIARTI000038026011&amp;cidTexte=LEGITEXT000006072050&amp;dateTexte=20190101" TargetMode="External"/><Relationship Id="rId14" Type="http://schemas.openxmlformats.org/officeDocument/2006/relationships/hyperlink" Target="https://www.legifrance.gouv.fr/affichCodeArticle.do?idArticle=LEGIARTI000035627878&amp;cidTexte=LEGITEXT000006072050&amp;dateTexte=20170924"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table" Target="../tables/table3.xml"/><Relationship Id="rId18" Type="http://schemas.openxmlformats.org/officeDocument/2006/relationships/table" Target="../tables/table8.xml"/><Relationship Id="rId26" Type="http://schemas.openxmlformats.org/officeDocument/2006/relationships/table" Target="../tables/table16.xml"/><Relationship Id="rId3" Type="http://schemas.openxmlformats.org/officeDocument/2006/relationships/pivotTable" Target="../pivotTables/pivotTable4.xml"/><Relationship Id="rId21" Type="http://schemas.openxmlformats.org/officeDocument/2006/relationships/table" Target="../tables/table11.xml"/><Relationship Id="rId7" Type="http://schemas.openxmlformats.org/officeDocument/2006/relationships/pivotTable" Target="../pivotTables/pivotTable8.xml"/><Relationship Id="rId12" Type="http://schemas.openxmlformats.org/officeDocument/2006/relationships/table" Target="../tables/table2.xml"/><Relationship Id="rId17" Type="http://schemas.openxmlformats.org/officeDocument/2006/relationships/table" Target="../tables/table7.xml"/><Relationship Id="rId25" Type="http://schemas.openxmlformats.org/officeDocument/2006/relationships/table" Target="../tables/table15.xml"/><Relationship Id="rId2" Type="http://schemas.openxmlformats.org/officeDocument/2006/relationships/pivotTable" Target="../pivotTables/pivotTable3.xml"/><Relationship Id="rId16" Type="http://schemas.openxmlformats.org/officeDocument/2006/relationships/table" Target="../tables/table6.xml"/><Relationship Id="rId20" Type="http://schemas.openxmlformats.org/officeDocument/2006/relationships/table" Target="../tables/table10.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drawing" Target="../drawings/drawing4.xml"/><Relationship Id="rId24" Type="http://schemas.openxmlformats.org/officeDocument/2006/relationships/table" Target="../tables/table14.xml"/><Relationship Id="rId5" Type="http://schemas.openxmlformats.org/officeDocument/2006/relationships/pivotTable" Target="../pivotTables/pivotTable6.xml"/><Relationship Id="rId15" Type="http://schemas.openxmlformats.org/officeDocument/2006/relationships/table" Target="../tables/table5.xml"/><Relationship Id="rId23" Type="http://schemas.openxmlformats.org/officeDocument/2006/relationships/table" Target="../tables/table13.xml"/><Relationship Id="rId10" Type="http://schemas.openxmlformats.org/officeDocument/2006/relationships/pivotTable" Target="../pivotTables/pivotTable11.xml"/><Relationship Id="rId19" Type="http://schemas.openxmlformats.org/officeDocument/2006/relationships/table" Target="../tables/table9.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table" Target="../tables/table4.xml"/><Relationship Id="rId22" Type="http://schemas.openxmlformats.org/officeDocument/2006/relationships/table" Target="../tables/table1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13.xml"/><Relationship Id="rId1" Type="http://schemas.openxmlformats.org/officeDocument/2006/relationships/pivotTable" Target="../pivotTables/pivotTable1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bin"/><Relationship Id="rId1" Type="http://schemas.openxmlformats.org/officeDocument/2006/relationships/pivotTable" Target="../pivotTables/pivotTable1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0"/>
  </sheetPr>
  <dimension ref="A1:U13"/>
  <sheetViews>
    <sheetView showGridLines="0" workbookViewId="0">
      <selection activeCell="C4" sqref="C4"/>
    </sheetView>
  </sheetViews>
  <sheetFormatPr baseColWidth="10" defaultRowHeight="18"/>
  <cols>
    <col min="1" max="1" width="8.1640625" style="148" customWidth="1"/>
  </cols>
  <sheetData>
    <row r="1" spans="1:21" s="148" customFormat="1" ht="55.5" customHeight="1">
      <c r="A1" s="147"/>
      <c r="J1" s="169"/>
    </row>
    <row r="4" spans="1:21" ht="22">
      <c r="C4" s="1284" t="s">
        <v>972</v>
      </c>
    </row>
    <row r="11" spans="1:21">
      <c r="U11" s="51"/>
    </row>
    <row r="12" spans="1:21">
      <c r="U12" s="51"/>
    </row>
    <row r="13" spans="1:21">
      <c r="U13" s="5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9">
    <tabColor rgb="FFFF2F92"/>
  </sheetPr>
  <dimension ref="A1:T89"/>
  <sheetViews>
    <sheetView showGridLines="0" zoomScale="90" zoomScaleNormal="90" workbookViewId="0">
      <selection activeCell="C1" sqref="C1"/>
    </sheetView>
  </sheetViews>
  <sheetFormatPr baseColWidth="10" defaultRowHeight="13"/>
  <cols>
    <col min="1" max="1" width="8.6640625" style="119" customWidth="1"/>
    <col min="3" max="3" width="38.5" customWidth="1"/>
    <col min="4" max="8" width="27.5" customWidth="1"/>
  </cols>
  <sheetData>
    <row r="1" spans="1:13" s="124" customFormat="1" ht="72" customHeight="1">
      <c r="A1" s="123"/>
      <c r="C1" s="1167" t="s">
        <v>980</v>
      </c>
      <c r="L1" s="1286" t="s">
        <v>382</v>
      </c>
      <c r="M1" s="1286"/>
    </row>
    <row r="2" spans="1:13" s="185" customFormat="1" ht="26" customHeight="1">
      <c r="A2" s="123"/>
    </row>
    <row r="3" spans="1:13" s="185" customFormat="1" ht="26" customHeight="1">
      <c r="A3" s="123"/>
      <c r="C3" s="75"/>
    </row>
    <row r="4" spans="1:13" s="185" customFormat="1" ht="19" customHeight="1">
      <c r="A4" s="123"/>
      <c r="C4" s="207" t="s">
        <v>239</v>
      </c>
    </row>
    <row r="5" spans="1:13" s="185" customFormat="1" ht="19" customHeight="1">
      <c r="A5" s="123"/>
      <c r="C5" s="207"/>
    </row>
    <row r="6" spans="1:13" s="185" customFormat="1" ht="19" customHeight="1">
      <c r="A6" s="123"/>
      <c r="C6" s="207"/>
    </row>
    <row r="7" spans="1:13" s="185" customFormat="1" ht="19" customHeight="1">
      <c r="A7" s="123"/>
      <c r="C7" s="344" t="s">
        <v>446</v>
      </c>
      <c r="G7" s="345"/>
    </row>
    <row r="8" spans="1:13" s="185" customFormat="1" ht="19" customHeight="1">
      <c r="A8" s="123"/>
      <c r="C8" s="207"/>
    </row>
    <row r="9" spans="1:13" s="185" customFormat="1" ht="31" customHeight="1">
      <c r="A9" s="123"/>
      <c r="D9"/>
      <c r="E9"/>
      <c r="F9"/>
      <c r="G9"/>
      <c r="H9"/>
    </row>
    <row r="10" spans="1:13" s="185" customFormat="1" ht="25" customHeight="1">
      <c r="A10" s="123"/>
      <c r="C10" s="1146" t="s">
        <v>976</v>
      </c>
      <c r="D10" s="182"/>
      <c r="E10" s="180"/>
      <c r="F10" s="180"/>
      <c r="G10" s="180"/>
      <c r="H10" s="180"/>
    </row>
    <row r="11" spans="1:13" s="185" customFormat="1" ht="25" customHeight="1">
      <c r="A11" s="123"/>
      <c r="C11" s="197"/>
      <c r="D11" s="182"/>
      <c r="E11" s="180"/>
      <c r="F11" s="180"/>
      <c r="G11" s="180"/>
      <c r="H11" s="180"/>
    </row>
    <row r="12" spans="1:13" s="185" customFormat="1" ht="25" customHeight="1">
      <c r="A12" s="123"/>
      <c r="C12" s="232" t="s">
        <v>413</v>
      </c>
      <c r="D12" s="182"/>
      <c r="E12" s="180"/>
      <c r="F12" s="180"/>
      <c r="G12" s="180"/>
      <c r="H12" s="180"/>
    </row>
    <row r="13" spans="1:13" s="185" customFormat="1" ht="39" customHeight="1">
      <c r="A13" s="123"/>
      <c r="C13"/>
      <c r="D13"/>
      <c r="E13"/>
      <c r="F13"/>
      <c r="G13"/>
      <c r="H13"/>
    </row>
    <row r="14" spans="1:13" s="185" customFormat="1" ht="73" customHeight="1">
      <c r="A14" s="123"/>
      <c r="C14" s="219"/>
      <c r="D14" s="220" t="s">
        <v>272</v>
      </c>
      <c r="E14" s="220" t="s">
        <v>273</v>
      </c>
      <c r="F14" s="220" t="s">
        <v>274</v>
      </c>
      <c r="G14" s="220" t="s">
        <v>275</v>
      </c>
      <c r="H14" s="220" t="s">
        <v>276</v>
      </c>
    </row>
    <row r="15" spans="1:13" s="185" customFormat="1" ht="73" customHeight="1">
      <c r="A15" s="123"/>
      <c r="C15" s="221" t="s">
        <v>277</v>
      </c>
      <c r="D15" s="222">
        <f>'INDIC. 1 Ecart Rémunération'!N22</f>
        <v>1</v>
      </c>
      <c r="E15" s="689">
        <f>'INDIC. 1 Ecart Rémunération'!N23</f>
        <v>3.7</v>
      </c>
      <c r="F15" s="222">
        <f>IF(D15=1,'INDIC. 1 Ecart Rémunération'!N24," ")</f>
        <v>36</v>
      </c>
      <c r="G15" s="224">
        <v>40</v>
      </c>
      <c r="H15" s="224">
        <f>D15*G15</f>
        <v>40</v>
      </c>
    </row>
    <row r="16" spans="1:13" s="185" customFormat="1" ht="73" customHeight="1">
      <c r="A16" s="123"/>
      <c r="C16" s="221" t="s">
        <v>367</v>
      </c>
      <c r="D16" s="222">
        <f>'INDIC.2 Ecart Tx Augmentation'!M22</f>
        <v>1</v>
      </c>
      <c r="E16" s="225">
        <f>IF(D16=1,MIN('INDIC.2 Ecart Tx Augmentation'!M23,'INDIC.2 Ecart Tx Augmentation'!M24),IF(D16=0,"INCALCULABLE","#N/A"))</f>
        <v>7.2</v>
      </c>
      <c r="F16" s="223">
        <f>IF(D16=1,'INDIC.2 Ecart Tx Augmentation'!M28," ")</f>
        <v>35</v>
      </c>
      <c r="G16" s="224">
        <v>35</v>
      </c>
      <c r="H16" s="224">
        <f>D16*G16</f>
        <v>35</v>
      </c>
    </row>
    <row r="17" spans="1:8" s="185" customFormat="1" ht="73" customHeight="1">
      <c r="A17" s="123"/>
      <c r="C17" s="221" t="s">
        <v>368</v>
      </c>
      <c r="D17" s="223">
        <f>'INDIC.3 ou 4 A Maternité'!G20</f>
        <v>1</v>
      </c>
      <c r="E17" s="222">
        <f>'INDIC.3 ou 4 A Maternité'!G21</f>
        <v>20</v>
      </c>
      <c r="F17" s="222">
        <f>IF(D17=1,'INDIC.3 ou 4 A Maternité'!G22," ")</f>
        <v>0</v>
      </c>
      <c r="G17" s="224">
        <v>15</v>
      </c>
      <c r="H17" s="224">
        <f>D17*G17</f>
        <v>15</v>
      </c>
    </row>
    <row r="18" spans="1:8" s="185" customFormat="1" ht="73" customHeight="1">
      <c r="A18" s="123"/>
      <c r="C18" s="221" t="s">
        <v>369</v>
      </c>
      <c r="D18" s="222">
        <v>1</v>
      </c>
      <c r="E18" s="222">
        <f>'INDIC.4 ou 5 10+ Hautes Rému'!G23</f>
        <v>2</v>
      </c>
      <c r="F18" s="222">
        <f>IF(D18=1,'INDIC.4 ou 5 10+ Hautes Rému'!G24," ")</f>
        <v>5</v>
      </c>
      <c r="G18" s="224">
        <v>10</v>
      </c>
      <c r="H18" s="224">
        <f>D18*G18</f>
        <v>10</v>
      </c>
    </row>
    <row r="19" spans="1:8" s="72" customFormat="1" ht="38">
      <c r="A19" s="119"/>
      <c r="C19" s="226" t="s">
        <v>282</v>
      </c>
      <c r="D19" s="223"/>
      <c r="E19" s="223"/>
      <c r="F19" s="227">
        <f>SUM(F15:F18)</f>
        <v>76</v>
      </c>
      <c r="G19" s="228"/>
      <c r="H19" s="228">
        <f>SUM(H15:H18)</f>
        <v>100</v>
      </c>
    </row>
    <row r="20" spans="1:8" ht="38" customHeight="1">
      <c r="C20" s="215" t="s">
        <v>283</v>
      </c>
      <c r="D20" s="216"/>
      <c r="E20" s="216"/>
      <c r="F20" s="217">
        <f>IF(H19&gt;=75,F19*100/H19,"INCALCULABLE")</f>
        <v>76</v>
      </c>
      <c r="G20" s="218"/>
      <c r="H20" s="218">
        <v>100</v>
      </c>
    </row>
    <row r="21" spans="1:8" ht="21">
      <c r="C21" s="181" t="str">
        <f>IF(H19&lt;75,"L'index est incalculable car le nombre de points maximum des indicateurs calculables est inférieur à 75.",IF(AND(H19&gt;=75,H19&lt;100),"Le total des indicateurs calculables est ramené sur 100 points en appliquant la règle de la proportionnalité."," "))</f>
        <v xml:space="preserve"> </v>
      </c>
    </row>
    <row r="24" spans="1:8" ht="28">
      <c r="C24" s="232" t="s">
        <v>414</v>
      </c>
    </row>
    <row r="26" spans="1:8" ht="26">
      <c r="C26" s="1146" t="s">
        <v>977</v>
      </c>
    </row>
    <row r="28" spans="1:8" ht="72" customHeight="1">
      <c r="C28" s="229"/>
      <c r="D28" s="220" t="s">
        <v>272</v>
      </c>
      <c r="E28" s="220" t="s">
        <v>273</v>
      </c>
      <c r="F28" s="220" t="s">
        <v>274</v>
      </c>
      <c r="G28" s="220" t="s">
        <v>275</v>
      </c>
      <c r="H28" s="220" t="s">
        <v>276</v>
      </c>
    </row>
    <row r="29" spans="1:8" ht="19">
      <c r="C29" s="221" t="s">
        <v>277</v>
      </c>
      <c r="D29" s="222">
        <f>'INDIC. 1 Ecart Rémunération'!N22</f>
        <v>1</v>
      </c>
      <c r="E29" s="690">
        <f>'INDIC. 1 Ecart Rémunération'!N23</f>
        <v>3.7</v>
      </c>
      <c r="F29" s="222">
        <f>IF(D29=1,'INDIC. 1 Ecart Rémunération'!N24," ")</f>
        <v>36</v>
      </c>
      <c r="G29" s="224">
        <v>40</v>
      </c>
      <c r="H29" s="224">
        <f>D29*G29</f>
        <v>40</v>
      </c>
    </row>
    <row r="30" spans="1:8" ht="38">
      <c r="C30" s="221" t="s">
        <v>278</v>
      </c>
      <c r="D30" s="222">
        <f>'INDIC.2 Ecart Tx Augmentation'!L55</f>
        <v>1</v>
      </c>
      <c r="E30" s="223">
        <f>'INDIC.2 Ecart Tx Augmentation'!L56</f>
        <v>7.6</v>
      </c>
      <c r="F30" s="223" t="e">
        <f>IF(D30=1,'INDIC.2 Ecart Tx Augmentation'!L57," ")</f>
        <v>#VALUE!</v>
      </c>
      <c r="G30" s="224">
        <v>20</v>
      </c>
      <c r="H30" s="224">
        <f>D30*G30</f>
        <v>20</v>
      </c>
    </row>
    <row r="31" spans="1:8" ht="38">
      <c r="C31" s="221" t="s">
        <v>279</v>
      </c>
      <c r="D31" s="222">
        <f>'INDIC.3 Ecart Tx Promotion'!L36</f>
        <v>1</v>
      </c>
      <c r="E31" s="223">
        <f>'INDIC.3 Ecart Tx Promotion'!L37</f>
        <v>8.5</v>
      </c>
      <c r="F31" s="222">
        <f>IF(D31=1,'INDIC.3 Ecart Tx Promotion'!L38," ")</f>
        <v>15</v>
      </c>
      <c r="G31" s="224">
        <v>15</v>
      </c>
      <c r="H31" s="224">
        <f>D31*G31</f>
        <v>15</v>
      </c>
    </row>
    <row r="32" spans="1:8" ht="57">
      <c r="C32" s="221" t="s">
        <v>280</v>
      </c>
      <c r="D32" s="223">
        <f>'INDIC.3 ou 4 A Maternité'!G34</f>
        <v>1</v>
      </c>
      <c r="E32" s="222">
        <f>'INDIC.3 ou 4 A Maternité'!G35</f>
        <v>20</v>
      </c>
      <c r="F32" s="222">
        <f>IF(D32=1,'INDIC.3 ou 4 A Maternité'!G36," ")</f>
        <v>0</v>
      </c>
      <c r="G32" s="224">
        <v>15</v>
      </c>
      <c r="H32" s="224">
        <f>D32*G32</f>
        <v>15</v>
      </c>
    </row>
    <row r="33" spans="3:20" ht="57">
      <c r="C33" s="221" t="s">
        <v>281</v>
      </c>
      <c r="D33" s="222">
        <f>'INDIC.4 ou 5 10+ Hautes Rému'!G23</f>
        <v>2</v>
      </c>
      <c r="E33" s="222">
        <f>'INDIC.4 ou 5 10+ Hautes Rému'!G24</f>
        <v>5</v>
      </c>
      <c r="F33" s="222" t="str">
        <f>IF(D33=1,'INDIC.4 ou 5 10+ Hautes Rému'!#REF!," ")</f>
        <v xml:space="preserve"> </v>
      </c>
      <c r="G33" s="224">
        <v>10</v>
      </c>
      <c r="H33" s="224">
        <f>D33*G33</f>
        <v>20</v>
      </c>
    </row>
    <row r="34" spans="3:20" ht="38">
      <c r="C34" s="226" t="s">
        <v>282</v>
      </c>
      <c r="D34" s="223"/>
      <c r="E34" s="223"/>
      <c r="F34" s="227" t="e">
        <f>SUM(F29:F33)</f>
        <v>#VALUE!</v>
      </c>
      <c r="G34" s="228"/>
      <c r="H34" s="228">
        <f>SUM(H29:H33)</f>
        <v>110</v>
      </c>
    </row>
    <row r="35" spans="3:20" ht="42" customHeight="1">
      <c r="C35" s="215" t="s">
        <v>283</v>
      </c>
      <c r="D35" s="216"/>
      <c r="E35" s="216"/>
      <c r="F35" s="217" t="e">
        <f>IF(H34&gt;=75,F34*100/H34,"INCALCULABLE")</f>
        <v>#VALUE!</v>
      </c>
      <c r="G35" s="218"/>
      <c r="H35" s="218">
        <v>100</v>
      </c>
    </row>
    <row r="36" spans="3:20" ht="109" customHeight="1">
      <c r="C36" s="91" t="str">
        <f>IF(H34&lt;75,"L'index est incalculable car le nombre de points maximum des indicateurs calculables est inférieur à 75.",IF(AND(H34&gt;=75,H34&lt;100),"Le total des indicateurs calculables est ramené sur 100 points en appliquant la règle de la proportionnalité."," "))</f>
        <v xml:space="preserve"> </v>
      </c>
      <c r="D36" s="90"/>
      <c r="E36" s="90"/>
      <c r="F36" s="90"/>
      <c r="G36" s="90"/>
      <c r="H36" s="90"/>
    </row>
    <row r="37" spans="3:20" ht="20">
      <c r="C37" s="428" t="s">
        <v>902</v>
      </c>
      <c r="D37" s="90"/>
      <c r="E37" s="90"/>
      <c r="F37" s="90"/>
      <c r="G37" s="90"/>
      <c r="H37" s="90"/>
    </row>
    <row r="38" spans="3:20" ht="21">
      <c r="C38" s="464" t="s">
        <v>264</v>
      </c>
      <c r="N38" s="185"/>
      <c r="O38" s="345" t="s">
        <v>447</v>
      </c>
      <c r="P38" s="185"/>
      <c r="Q38" s="185"/>
      <c r="R38" s="185"/>
      <c r="S38" s="185"/>
      <c r="T38" s="185"/>
    </row>
    <row r="39" spans="3:20" ht="15">
      <c r="C39" s="1403" t="s">
        <v>265</v>
      </c>
      <c r="D39" s="1403"/>
      <c r="E39" s="190"/>
      <c r="F39" s="1403" t="s">
        <v>266</v>
      </c>
      <c r="G39" s="1403"/>
      <c r="H39" s="190"/>
      <c r="I39" s="1403" t="s">
        <v>370</v>
      </c>
      <c r="J39" s="1403"/>
      <c r="K39" s="190"/>
      <c r="L39" s="1403" t="s">
        <v>371</v>
      </c>
      <c r="M39" s="1403"/>
      <c r="N39" s="191"/>
      <c r="O39" s="191"/>
      <c r="P39" s="191"/>
      <c r="Q39" s="191"/>
      <c r="R39" s="191"/>
      <c r="S39" s="191"/>
      <c r="T39" s="191"/>
    </row>
    <row r="40" spans="3:20" ht="14">
      <c r="C40" s="1" t="s">
        <v>270</v>
      </c>
      <c r="D40" s="1" t="s">
        <v>271</v>
      </c>
      <c r="E40" s="1"/>
      <c r="F40" s="1" t="s">
        <v>270</v>
      </c>
      <c r="G40" s="1" t="s">
        <v>271</v>
      </c>
      <c r="H40" s="1"/>
      <c r="I40" s="1" t="s">
        <v>270</v>
      </c>
      <c r="J40" s="1" t="s">
        <v>271</v>
      </c>
      <c r="K40" s="1"/>
      <c r="L40" s="1" t="s">
        <v>270</v>
      </c>
      <c r="M40" s="1" t="s">
        <v>271</v>
      </c>
      <c r="N40" s="185"/>
      <c r="O40" s="185"/>
      <c r="P40" s="185"/>
      <c r="Q40" s="185"/>
      <c r="R40" s="185"/>
      <c r="S40" s="185"/>
      <c r="T40" s="185"/>
    </row>
    <row r="41" spans="3:20" ht="14">
      <c r="C41" s="511">
        <v>0</v>
      </c>
      <c r="D41" s="1">
        <v>40</v>
      </c>
      <c r="E41" s="1"/>
      <c r="F41" s="511">
        <v>0</v>
      </c>
      <c r="G41" s="1">
        <v>35</v>
      </c>
      <c r="H41" s="1"/>
      <c r="I41" s="511">
        <v>0</v>
      </c>
      <c r="J41" s="1">
        <v>0</v>
      </c>
      <c r="K41" s="1"/>
      <c r="L41" s="5">
        <v>0</v>
      </c>
      <c r="M41" s="1">
        <v>0</v>
      </c>
      <c r="N41" s="185"/>
      <c r="O41" s="185"/>
      <c r="P41" s="185"/>
      <c r="Q41" s="185"/>
      <c r="R41" s="185"/>
      <c r="S41" s="185"/>
      <c r="T41" s="185"/>
    </row>
    <row r="42" spans="3:20" ht="14">
      <c r="C42" s="511">
        <v>0.1</v>
      </c>
      <c r="D42" s="1">
        <v>39</v>
      </c>
      <c r="E42" s="1"/>
      <c r="F42" s="511">
        <v>2.1</v>
      </c>
      <c r="G42" s="1">
        <v>25</v>
      </c>
      <c r="H42" s="1"/>
      <c r="I42" s="511">
        <v>100</v>
      </c>
      <c r="J42" s="1">
        <v>15</v>
      </c>
      <c r="K42" s="1"/>
      <c r="L42" s="5">
        <v>2</v>
      </c>
      <c r="M42" s="1">
        <v>5</v>
      </c>
      <c r="N42" s="185"/>
      <c r="O42" s="185"/>
      <c r="P42" s="185"/>
      <c r="Q42" s="185"/>
      <c r="R42" s="185"/>
      <c r="S42" s="185"/>
      <c r="T42" s="185"/>
    </row>
    <row r="43" spans="3:20" ht="14">
      <c r="C43" s="511">
        <f t="shared" ref="C43:C62" si="0">C42+1</f>
        <v>1.1000000000000001</v>
      </c>
      <c r="D43" s="1">
        <v>38</v>
      </c>
      <c r="E43" s="1"/>
      <c r="F43" s="511">
        <v>5.0999999999999996</v>
      </c>
      <c r="G43" s="1">
        <v>15</v>
      </c>
      <c r="H43" s="1"/>
      <c r="I43" s="1"/>
      <c r="J43" s="1"/>
      <c r="K43" s="1"/>
      <c r="L43" s="5">
        <v>4</v>
      </c>
      <c r="M43" s="1">
        <v>10</v>
      </c>
      <c r="N43" s="185"/>
      <c r="O43" s="185"/>
      <c r="P43" s="185"/>
      <c r="Q43" s="185"/>
      <c r="R43" s="185"/>
      <c r="S43" s="185"/>
      <c r="T43" s="185"/>
    </row>
    <row r="44" spans="3:20" ht="14">
      <c r="C44" s="511">
        <f t="shared" si="0"/>
        <v>2.1</v>
      </c>
      <c r="D44" s="1">
        <v>37</v>
      </c>
      <c r="E44" s="1"/>
      <c r="F44" s="511">
        <v>10.1</v>
      </c>
      <c r="G44" s="1">
        <v>0</v>
      </c>
      <c r="H44" s="1"/>
      <c r="I44" s="1"/>
      <c r="J44" s="1"/>
      <c r="K44" s="1"/>
      <c r="L44" s="5"/>
      <c r="M44" s="1"/>
      <c r="N44" s="185"/>
      <c r="O44" s="185"/>
      <c r="P44" s="185"/>
      <c r="Q44" s="185"/>
      <c r="R44" s="185"/>
      <c r="S44" s="185"/>
      <c r="T44" s="185"/>
    </row>
    <row r="45" spans="3:20" ht="14">
      <c r="C45" s="511">
        <f t="shared" si="0"/>
        <v>3.1</v>
      </c>
      <c r="D45" s="1">
        <v>36</v>
      </c>
      <c r="E45" s="1"/>
      <c r="F45" s="511"/>
      <c r="G45" s="1"/>
      <c r="H45" s="1"/>
      <c r="I45" s="1"/>
      <c r="J45" s="1"/>
      <c r="K45" s="1"/>
      <c r="L45" s="1"/>
      <c r="M45" s="1"/>
      <c r="N45" s="185"/>
      <c r="O45" s="185"/>
      <c r="P45" s="185"/>
      <c r="Q45" s="185"/>
      <c r="R45" s="185"/>
      <c r="S45" s="185"/>
      <c r="T45" s="185"/>
    </row>
    <row r="46" spans="3:20" ht="14">
      <c r="C46" s="511">
        <f t="shared" si="0"/>
        <v>4.0999999999999996</v>
      </c>
      <c r="D46" s="1">
        <v>35</v>
      </c>
      <c r="E46" s="1"/>
      <c r="F46" s="511"/>
      <c r="G46" s="1"/>
      <c r="H46" s="1"/>
      <c r="I46" s="1"/>
      <c r="J46" s="1"/>
      <c r="K46" s="1"/>
      <c r="L46" s="1"/>
      <c r="M46" s="1"/>
      <c r="N46" s="185"/>
      <c r="O46" s="185"/>
      <c r="P46" s="185"/>
      <c r="Q46" s="185"/>
      <c r="R46" s="185"/>
      <c r="S46" s="185"/>
      <c r="T46" s="185"/>
    </row>
    <row r="47" spans="3:20" ht="14">
      <c r="C47" s="511">
        <f t="shared" si="0"/>
        <v>5.0999999999999996</v>
      </c>
      <c r="D47" s="1">
        <v>34</v>
      </c>
      <c r="E47" s="1"/>
      <c r="F47" s="511"/>
      <c r="G47" s="1"/>
      <c r="H47" s="1"/>
      <c r="I47" s="1"/>
      <c r="J47" s="1"/>
      <c r="K47" s="1"/>
      <c r="L47" s="1"/>
      <c r="M47" s="1"/>
      <c r="N47" s="185"/>
      <c r="O47" s="185"/>
      <c r="P47" s="185"/>
      <c r="Q47" s="185"/>
      <c r="R47" s="185"/>
      <c r="S47" s="185"/>
      <c r="T47" s="185"/>
    </row>
    <row r="48" spans="3:20" ht="14">
      <c r="C48" s="511">
        <f t="shared" si="0"/>
        <v>6.1</v>
      </c>
      <c r="D48" s="1">
        <v>33</v>
      </c>
      <c r="E48" s="1"/>
      <c r="F48" s="511"/>
      <c r="G48" s="1"/>
      <c r="H48" s="1"/>
      <c r="I48" s="1"/>
      <c r="J48" s="1"/>
      <c r="K48" s="1"/>
      <c r="L48" s="1"/>
      <c r="M48" s="1"/>
      <c r="N48" s="185"/>
      <c r="O48" s="185"/>
      <c r="P48" s="185"/>
      <c r="Q48" s="185"/>
      <c r="R48" s="185"/>
      <c r="S48" s="185"/>
      <c r="T48" s="185"/>
    </row>
    <row r="49" spans="3:20" ht="14">
      <c r="C49" s="511">
        <f t="shared" si="0"/>
        <v>7.1</v>
      </c>
      <c r="D49" s="1">
        <v>31</v>
      </c>
      <c r="E49" s="1"/>
      <c r="F49" s="511"/>
      <c r="G49" s="1"/>
      <c r="H49" s="1"/>
      <c r="I49" s="1"/>
      <c r="J49" s="1"/>
      <c r="K49" s="1"/>
      <c r="L49" s="1"/>
      <c r="M49" s="1"/>
      <c r="N49" s="185"/>
      <c r="O49" s="185"/>
      <c r="P49" s="185"/>
      <c r="Q49" s="185"/>
      <c r="R49" s="185"/>
      <c r="S49" s="185"/>
      <c r="T49" s="185"/>
    </row>
    <row r="50" spans="3:20" ht="14">
      <c r="C50" s="511">
        <f t="shared" si="0"/>
        <v>8.1</v>
      </c>
      <c r="D50" s="1">
        <v>29</v>
      </c>
      <c r="E50" s="1"/>
      <c r="F50" s="511"/>
      <c r="G50" s="1"/>
      <c r="H50" s="1"/>
      <c r="I50" s="1"/>
      <c r="J50" s="1"/>
      <c r="K50" s="1"/>
      <c r="L50" s="1"/>
      <c r="M50" s="1"/>
      <c r="N50" s="185"/>
      <c r="O50" s="185"/>
      <c r="P50" s="185"/>
      <c r="Q50" s="185"/>
      <c r="R50" s="185"/>
      <c r="S50" s="185"/>
      <c r="T50" s="185"/>
    </row>
    <row r="51" spans="3:20" ht="14">
      <c r="C51" s="511">
        <f t="shared" si="0"/>
        <v>9.1</v>
      </c>
      <c r="D51" s="1">
        <v>27</v>
      </c>
      <c r="E51" s="1"/>
      <c r="F51" s="511"/>
      <c r="G51" s="1"/>
      <c r="H51" s="1"/>
      <c r="I51" s="1"/>
      <c r="J51" s="1"/>
      <c r="K51" s="1"/>
      <c r="L51" s="1"/>
      <c r="M51" s="1"/>
      <c r="N51" s="185"/>
      <c r="O51" s="185"/>
      <c r="P51" s="185"/>
      <c r="Q51" s="185"/>
      <c r="R51" s="185"/>
      <c r="S51" s="185"/>
      <c r="T51" s="185"/>
    </row>
    <row r="52" spans="3:20" ht="14">
      <c r="C52" s="511">
        <f t="shared" si="0"/>
        <v>10.1</v>
      </c>
      <c r="D52" s="1">
        <v>25</v>
      </c>
      <c r="E52" s="1"/>
      <c r="F52" s="511"/>
      <c r="G52" s="1"/>
      <c r="H52" s="1"/>
      <c r="I52" s="1"/>
      <c r="J52" s="1"/>
      <c r="K52" s="1"/>
      <c r="L52" s="1"/>
      <c r="M52" s="1"/>
      <c r="N52" s="185"/>
      <c r="O52" s="185"/>
      <c r="P52" s="185"/>
      <c r="Q52" s="185"/>
      <c r="R52" s="185"/>
      <c r="S52" s="185"/>
      <c r="T52" s="185"/>
    </row>
    <row r="53" spans="3:20" ht="14">
      <c r="C53" s="511">
        <f t="shared" si="0"/>
        <v>11.1</v>
      </c>
      <c r="D53" s="1">
        <v>23</v>
      </c>
      <c r="E53" s="1"/>
      <c r="F53" s="511"/>
      <c r="G53" s="1"/>
      <c r="H53" s="1"/>
      <c r="I53" s="1"/>
      <c r="J53" s="1"/>
      <c r="K53" s="1"/>
      <c r="L53" s="1"/>
      <c r="M53" s="1"/>
      <c r="N53" s="185"/>
      <c r="O53" s="185"/>
      <c r="P53" s="185"/>
      <c r="Q53" s="185"/>
      <c r="R53" s="185"/>
      <c r="S53" s="185"/>
      <c r="T53" s="185"/>
    </row>
    <row r="54" spans="3:20" ht="14">
      <c r="C54" s="511">
        <f t="shared" si="0"/>
        <v>12.1</v>
      </c>
      <c r="D54" s="1">
        <v>21</v>
      </c>
      <c r="E54" s="1"/>
      <c r="F54" s="511"/>
      <c r="G54" s="1"/>
      <c r="H54" s="1"/>
      <c r="I54" s="1"/>
      <c r="J54" s="1"/>
      <c r="K54" s="1"/>
      <c r="L54" s="1"/>
      <c r="M54" s="1"/>
      <c r="N54" s="185"/>
      <c r="O54" s="185"/>
      <c r="P54" s="185"/>
      <c r="Q54" s="185"/>
      <c r="R54" s="185"/>
      <c r="S54" s="185"/>
      <c r="T54" s="185"/>
    </row>
    <row r="55" spans="3:20" ht="14">
      <c r="C55" s="511">
        <f t="shared" si="0"/>
        <v>13.1</v>
      </c>
      <c r="D55" s="1">
        <v>19</v>
      </c>
      <c r="E55" s="1"/>
      <c r="F55" s="511"/>
      <c r="G55" s="1"/>
      <c r="H55" s="1"/>
      <c r="I55" s="1"/>
      <c r="J55" s="1"/>
      <c r="K55" s="1"/>
      <c r="L55" s="1"/>
      <c r="M55" s="1"/>
      <c r="N55" s="185"/>
      <c r="O55" s="185"/>
      <c r="P55" s="185"/>
      <c r="Q55" s="185"/>
      <c r="R55" s="185"/>
      <c r="S55" s="185"/>
      <c r="T55" s="185"/>
    </row>
    <row r="56" spans="3:20" ht="14">
      <c r="C56" s="511">
        <f t="shared" si="0"/>
        <v>14.1</v>
      </c>
      <c r="D56" s="1">
        <v>17</v>
      </c>
      <c r="E56" s="1"/>
      <c r="F56" s="511"/>
      <c r="G56" s="1"/>
      <c r="H56" s="1"/>
      <c r="I56" s="1"/>
      <c r="J56" s="1"/>
      <c r="K56" s="1"/>
      <c r="L56" s="1"/>
      <c r="M56" s="1"/>
      <c r="N56" s="185"/>
      <c r="O56" s="185"/>
      <c r="P56" s="185"/>
      <c r="Q56" s="185"/>
      <c r="R56" s="185"/>
      <c r="S56" s="185"/>
      <c r="T56" s="185"/>
    </row>
    <row r="57" spans="3:20" ht="14">
      <c r="C57" s="511">
        <f t="shared" si="0"/>
        <v>15.1</v>
      </c>
      <c r="D57" s="1">
        <v>14</v>
      </c>
      <c r="E57" s="1"/>
      <c r="F57" s="511"/>
      <c r="G57" s="1"/>
      <c r="H57" s="1"/>
      <c r="I57" s="1"/>
      <c r="J57" s="1"/>
      <c r="K57" s="1"/>
      <c r="L57" s="1"/>
      <c r="M57" s="1"/>
      <c r="N57" s="185"/>
      <c r="O57" s="185"/>
      <c r="P57" s="185"/>
      <c r="Q57" s="185"/>
      <c r="R57" s="185"/>
      <c r="S57" s="185"/>
      <c r="T57" s="185"/>
    </row>
    <row r="58" spans="3:20" ht="14">
      <c r="C58" s="511">
        <f t="shared" si="0"/>
        <v>16.100000000000001</v>
      </c>
      <c r="D58" s="1">
        <v>11</v>
      </c>
      <c r="E58" s="1"/>
      <c r="F58" s="511"/>
      <c r="G58" s="1"/>
      <c r="H58" s="1"/>
      <c r="I58" s="1"/>
      <c r="J58" s="1"/>
      <c r="K58" s="1"/>
      <c r="L58" s="1"/>
      <c r="M58" s="1"/>
      <c r="N58" s="185"/>
      <c r="O58" s="185"/>
      <c r="P58" s="185"/>
      <c r="Q58" s="185"/>
      <c r="R58" s="185"/>
      <c r="S58" s="185"/>
      <c r="T58" s="185"/>
    </row>
    <row r="59" spans="3:20" ht="14">
      <c r="C59" s="511">
        <f t="shared" si="0"/>
        <v>17.100000000000001</v>
      </c>
      <c r="D59" s="1">
        <v>8</v>
      </c>
      <c r="E59" s="1"/>
      <c r="F59" s="511"/>
      <c r="G59" s="1"/>
      <c r="H59" s="1"/>
      <c r="I59" s="1"/>
      <c r="J59" s="1"/>
      <c r="K59" s="1"/>
      <c r="L59" s="1"/>
      <c r="M59" s="1"/>
      <c r="N59" s="185"/>
      <c r="O59" s="185"/>
      <c r="P59" s="185"/>
      <c r="Q59" s="185"/>
      <c r="R59" s="185"/>
      <c r="S59" s="185"/>
      <c r="T59" s="185"/>
    </row>
    <row r="60" spans="3:20" ht="14">
      <c r="C60" s="511">
        <f t="shared" si="0"/>
        <v>18.100000000000001</v>
      </c>
      <c r="D60" s="1">
        <v>5</v>
      </c>
      <c r="E60" s="1"/>
      <c r="F60" s="511"/>
      <c r="G60" s="1"/>
      <c r="H60" s="1"/>
      <c r="I60" s="1"/>
      <c r="J60" s="1"/>
      <c r="K60" s="1"/>
      <c r="L60" s="1"/>
      <c r="M60" s="1"/>
      <c r="N60" s="185"/>
      <c r="O60" s="185"/>
      <c r="P60" s="185"/>
      <c r="Q60" s="185"/>
      <c r="R60" s="185"/>
      <c r="S60" s="185"/>
      <c r="T60" s="185"/>
    </row>
    <row r="61" spans="3:20" ht="14">
      <c r="C61" s="511">
        <f t="shared" si="0"/>
        <v>19.100000000000001</v>
      </c>
      <c r="D61" s="1">
        <v>2</v>
      </c>
      <c r="E61" s="1"/>
      <c r="F61" s="511"/>
      <c r="G61" s="1"/>
      <c r="H61" s="1"/>
      <c r="I61" s="1"/>
      <c r="J61" s="1"/>
      <c r="K61" s="1"/>
      <c r="L61" s="1"/>
      <c r="M61" s="1"/>
      <c r="N61" s="185"/>
      <c r="O61" s="185"/>
      <c r="P61" s="185"/>
      <c r="Q61" s="185"/>
      <c r="R61" s="185"/>
      <c r="S61" s="185"/>
      <c r="T61" s="185"/>
    </row>
    <row r="62" spans="3:20" ht="14">
      <c r="C62" s="511">
        <f t="shared" si="0"/>
        <v>20.100000000000001</v>
      </c>
      <c r="D62" s="1">
        <v>0</v>
      </c>
      <c r="E62" s="1"/>
      <c r="F62" s="1"/>
      <c r="G62" s="1"/>
      <c r="H62" s="1"/>
      <c r="I62" s="1"/>
      <c r="J62" s="1"/>
      <c r="K62" s="1"/>
      <c r="L62" s="1"/>
      <c r="M62" s="1"/>
      <c r="N62" s="185"/>
      <c r="O62" s="185"/>
      <c r="P62" s="185"/>
      <c r="Q62" s="185"/>
      <c r="R62" s="185"/>
      <c r="S62" s="185"/>
      <c r="T62" s="185"/>
    </row>
    <row r="63" spans="3:20" ht="14">
      <c r="C63" s="512"/>
      <c r="D63" s="1"/>
      <c r="E63" s="1"/>
      <c r="F63" s="1"/>
      <c r="G63" s="1"/>
      <c r="H63" s="1"/>
      <c r="I63" s="1"/>
      <c r="J63" s="1"/>
      <c r="K63" s="1"/>
      <c r="L63" s="1"/>
      <c r="M63" s="1"/>
      <c r="N63" s="185"/>
      <c r="O63" s="185"/>
      <c r="P63" s="185"/>
      <c r="Q63" s="185"/>
      <c r="R63" s="185"/>
      <c r="S63" s="185"/>
      <c r="T63" s="185"/>
    </row>
    <row r="64" spans="3:20">
      <c r="C64" s="1"/>
      <c r="D64" s="1"/>
      <c r="E64" s="1"/>
      <c r="F64" s="1"/>
      <c r="G64" s="1"/>
      <c r="H64" s="1"/>
      <c r="I64" s="1"/>
      <c r="J64" s="1"/>
      <c r="K64" s="1"/>
      <c r="L64" s="1"/>
      <c r="M64" s="1"/>
      <c r="N64" s="1"/>
      <c r="O64" s="1"/>
      <c r="P64" s="1"/>
      <c r="Q64" s="1"/>
    </row>
    <row r="65" spans="3:20" ht="20">
      <c r="C65" s="439" t="s">
        <v>264</v>
      </c>
      <c r="D65" s="1"/>
      <c r="E65" s="1"/>
      <c r="F65" s="1"/>
      <c r="G65" s="1"/>
      <c r="H65" s="1"/>
      <c r="I65" s="1"/>
      <c r="J65" s="1"/>
      <c r="K65" s="1"/>
      <c r="L65" s="1"/>
      <c r="M65" s="1"/>
      <c r="N65" s="1"/>
      <c r="O65" s="1"/>
      <c r="P65" s="1"/>
      <c r="Q65" s="1"/>
    </row>
    <row r="66" spans="3:20" ht="14">
      <c r="C66" s="1402" t="s">
        <v>265</v>
      </c>
      <c r="D66" s="1402"/>
      <c r="E66" s="513"/>
      <c r="F66" s="1402" t="s">
        <v>266</v>
      </c>
      <c r="G66" s="1402"/>
      <c r="H66" s="513"/>
      <c r="I66" s="1402" t="s">
        <v>267</v>
      </c>
      <c r="J66" s="1402"/>
      <c r="K66" s="513"/>
      <c r="L66" s="1402" t="s">
        <v>268</v>
      </c>
      <c r="M66" s="1402"/>
      <c r="N66" s="513"/>
      <c r="O66" s="1402" t="s">
        <v>269</v>
      </c>
      <c r="P66" s="1402"/>
      <c r="Q66" s="513"/>
      <c r="R66" s="189"/>
      <c r="S66" s="189"/>
      <c r="T66" s="189"/>
    </row>
    <row r="67" spans="3:20">
      <c r="C67" s="1" t="s">
        <v>270</v>
      </c>
      <c r="D67" s="1" t="s">
        <v>271</v>
      </c>
      <c r="E67" s="1"/>
      <c r="F67" s="1" t="s">
        <v>270</v>
      </c>
      <c r="G67" s="1" t="s">
        <v>271</v>
      </c>
      <c r="H67" s="1"/>
      <c r="I67" s="1" t="s">
        <v>270</v>
      </c>
      <c r="J67" s="1" t="s">
        <v>271</v>
      </c>
      <c r="K67" s="1"/>
      <c r="L67" s="1" t="s">
        <v>270</v>
      </c>
      <c r="M67" s="1" t="s">
        <v>271</v>
      </c>
      <c r="N67" s="1"/>
      <c r="O67" s="1" t="s">
        <v>270</v>
      </c>
      <c r="P67" s="1" t="s">
        <v>271</v>
      </c>
      <c r="Q67" s="1"/>
    </row>
    <row r="68" spans="3:20">
      <c r="C68" s="511">
        <v>0</v>
      </c>
      <c r="D68" s="1">
        <v>40</v>
      </c>
      <c r="E68" s="1"/>
      <c r="F68" s="511">
        <v>0</v>
      </c>
      <c r="G68" s="1">
        <v>20</v>
      </c>
      <c r="H68" s="1"/>
      <c r="I68" s="511">
        <v>0</v>
      </c>
      <c r="J68" s="1">
        <v>15</v>
      </c>
      <c r="K68" s="1"/>
      <c r="L68" s="511">
        <v>0</v>
      </c>
      <c r="M68" s="1">
        <v>0</v>
      </c>
      <c r="N68" s="1"/>
      <c r="O68" s="5">
        <v>0</v>
      </c>
      <c r="P68" s="1">
        <v>0</v>
      </c>
      <c r="Q68" s="1"/>
    </row>
    <row r="69" spans="3:20">
      <c r="C69" s="511">
        <v>0.1</v>
      </c>
      <c r="D69" s="1">
        <v>39</v>
      </c>
      <c r="E69" s="1"/>
      <c r="F69" s="511">
        <v>2.1</v>
      </c>
      <c r="G69" s="1">
        <v>10</v>
      </c>
      <c r="H69" s="1"/>
      <c r="I69" s="511">
        <v>2.1</v>
      </c>
      <c r="J69" s="1">
        <v>10</v>
      </c>
      <c r="K69" s="1"/>
      <c r="L69" s="511">
        <v>100</v>
      </c>
      <c r="M69" s="1">
        <v>15</v>
      </c>
      <c r="N69" s="1"/>
      <c r="O69" s="5">
        <v>2</v>
      </c>
      <c r="P69" s="1">
        <v>5</v>
      </c>
      <c r="Q69" s="1"/>
    </row>
    <row r="70" spans="3:20">
      <c r="C70" s="511">
        <f t="shared" ref="C70:C89" si="1">C69+1</f>
        <v>1.1000000000000001</v>
      </c>
      <c r="D70" s="1">
        <v>38</v>
      </c>
      <c r="E70" s="1"/>
      <c r="F70" s="511">
        <v>5.0999999999999996</v>
      </c>
      <c r="G70" s="1">
        <v>5</v>
      </c>
      <c r="H70" s="1"/>
      <c r="I70" s="511">
        <v>5.0999999999999996</v>
      </c>
      <c r="J70" s="1">
        <v>5</v>
      </c>
      <c r="K70" s="1"/>
      <c r="L70" s="1"/>
      <c r="M70" s="1"/>
      <c r="N70" s="1"/>
      <c r="O70" s="5">
        <v>4</v>
      </c>
      <c r="P70" s="1">
        <v>10</v>
      </c>
      <c r="Q70" s="1"/>
    </row>
    <row r="71" spans="3:20">
      <c r="C71" s="511">
        <f t="shared" si="1"/>
        <v>2.1</v>
      </c>
      <c r="D71" s="1">
        <v>37</v>
      </c>
      <c r="E71" s="1"/>
      <c r="F71" s="511">
        <v>10.1</v>
      </c>
      <c r="G71" s="1">
        <v>0</v>
      </c>
      <c r="H71" s="1"/>
      <c r="I71" s="511">
        <v>10.1</v>
      </c>
      <c r="J71" s="1">
        <v>0</v>
      </c>
      <c r="K71" s="1"/>
      <c r="L71" s="1"/>
      <c r="M71" s="1"/>
      <c r="N71" s="1"/>
      <c r="O71" s="5"/>
      <c r="P71" s="1"/>
      <c r="Q71" s="1"/>
    </row>
    <row r="72" spans="3:20">
      <c r="C72" s="511">
        <f t="shared" si="1"/>
        <v>3.1</v>
      </c>
      <c r="D72" s="1">
        <v>36</v>
      </c>
      <c r="E72" s="1"/>
      <c r="F72" s="511"/>
      <c r="G72" s="1"/>
      <c r="H72" s="1"/>
      <c r="I72" s="1"/>
      <c r="J72" s="1"/>
      <c r="K72" s="1"/>
      <c r="L72" s="1"/>
      <c r="M72" s="1"/>
      <c r="N72" s="1"/>
      <c r="O72" s="1"/>
      <c r="P72" s="1"/>
      <c r="Q72" s="1"/>
    </row>
    <row r="73" spans="3:20">
      <c r="C73" s="511">
        <f t="shared" si="1"/>
        <v>4.0999999999999996</v>
      </c>
      <c r="D73" s="1">
        <v>35</v>
      </c>
      <c r="E73" s="1"/>
      <c r="F73" s="511"/>
      <c r="G73" s="1"/>
      <c r="H73" s="1"/>
      <c r="I73" s="1"/>
      <c r="J73" s="1"/>
      <c r="K73" s="1"/>
      <c r="L73" s="1"/>
      <c r="M73" s="1"/>
      <c r="N73" s="1"/>
      <c r="O73" s="1"/>
      <c r="P73" s="1"/>
      <c r="Q73" s="1"/>
    </row>
    <row r="74" spans="3:20">
      <c r="C74" s="511">
        <f t="shared" si="1"/>
        <v>5.0999999999999996</v>
      </c>
      <c r="D74" s="1">
        <v>34</v>
      </c>
      <c r="E74" s="1"/>
      <c r="F74" s="511"/>
      <c r="G74" s="1"/>
      <c r="H74" s="1"/>
      <c r="I74" s="1"/>
      <c r="J74" s="1"/>
      <c r="K74" s="1"/>
      <c r="L74" s="1"/>
      <c r="M74" s="1"/>
      <c r="N74" s="1"/>
      <c r="O74" s="1"/>
      <c r="P74" s="1"/>
      <c r="Q74" s="1"/>
    </row>
    <row r="75" spans="3:20">
      <c r="C75" s="511">
        <f t="shared" si="1"/>
        <v>6.1</v>
      </c>
      <c r="D75" s="1">
        <v>33</v>
      </c>
      <c r="E75" s="1"/>
      <c r="F75" s="511"/>
      <c r="G75" s="1"/>
      <c r="H75" s="1"/>
      <c r="I75" s="1"/>
      <c r="J75" s="1"/>
      <c r="K75" s="1"/>
      <c r="L75" s="1"/>
      <c r="M75" s="1"/>
      <c r="N75" s="1"/>
      <c r="O75" s="1"/>
      <c r="P75" s="1"/>
      <c r="Q75" s="1"/>
    </row>
    <row r="76" spans="3:20">
      <c r="C76" s="511">
        <f t="shared" si="1"/>
        <v>7.1</v>
      </c>
      <c r="D76" s="1">
        <v>31</v>
      </c>
      <c r="E76" s="1"/>
      <c r="F76" s="511"/>
      <c r="G76" s="1"/>
      <c r="H76" s="1"/>
      <c r="I76" s="1"/>
      <c r="J76" s="1"/>
      <c r="K76" s="1"/>
      <c r="L76" s="1"/>
      <c r="M76" s="1"/>
      <c r="N76" s="1"/>
      <c r="O76" s="1"/>
      <c r="P76" s="1"/>
      <c r="Q76" s="1"/>
    </row>
    <row r="77" spans="3:20">
      <c r="C77" s="511">
        <f t="shared" si="1"/>
        <v>8.1</v>
      </c>
      <c r="D77" s="1">
        <v>29</v>
      </c>
      <c r="E77" s="1"/>
      <c r="F77" s="511"/>
      <c r="G77" s="1"/>
      <c r="H77" s="1"/>
      <c r="I77" s="1"/>
      <c r="J77" s="1"/>
      <c r="K77" s="1"/>
      <c r="L77" s="1"/>
      <c r="M77" s="1"/>
      <c r="N77" s="1"/>
      <c r="O77" s="1"/>
      <c r="P77" s="1"/>
      <c r="Q77" s="1"/>
    </row>
    <row r="78" spans="3:20">
      <c r="C78" s="511">
        <f t="shared" si="1"/>
        <v>9.1</v>
      </c>
      <c r="D78" s="1">
        <v>27</v>
      </c>
      <c r="E78" s="1"/>
      <c r="F78" s="511"/>
      <c r="G78" s="1"/>
      <c r="H78" s="1"/>
      <c r="I78" s="1"/>
      <c r="J78" s="1"/>
      <c r="K78" s="1"/>
      <c r="L78" s="1"/>
      <c r="M78" s="1"/>
      <c r="N78" s="1"/>
      <c r="O78" s="1"/>
      <c r="P78" s="1"/>
      <c r="Q78" s="1"/>
    </row>
    <row r="79" spans="3:20">
      <c r="C79" s="511">
        <f t="shared" si="1"/>
        <v>10.1</v>
      </c>
      <c r="D79" s="1">
        <v>25</v>
      </c>
      <c r="E79" s="1"/>
      <c r="F79" s="511"/>
      <c r="G79" s="1"/>
      <c r="H79" s="1"/>
      <c r="I79" s="1"/>
      <c r="J79" s="1"/>
      <c r="K79" s="1"/>
      <c r="L79" s="1"/>
      <c r="M79" s="1"/>
      <c r="N79" s="1"/>
      <c r="O79" s="1"/>
      <c r="P79" s="1"/>
      <c r="Q79" s="1"/>
    </row>
    <row r="80" spans="3:20">
      <c r="C80" s="511">
        <f t="shared" si="1"/>
        <v>11.1</v>
      </c>
      <c r="D80" s="1">
        <v>23</v>
      </c>
      <c r="E80" s="1"/>
      <c r="F80" s="511"/>
      <c r="G80" s="1"/>
      <c r="H80" s="1"/>
      <c r="I80" s="1"/>
      <c r="J80" s="1"/>
      <c r="K80" s="1"/>
      <c r="L80" s="1"/>
      <c r="M80" s="1"/>
      <c r="N80" s="1"/>
      <c r="O80" s="1"/>
      <c r="P80" s="1"/>
      <c r="Q80" s="1"/>
    </row>
    <row r="81" spans="3:17">
      <c r="C81" s="511">
        <f t="shared" si="1"/>
        <v>12.1</v>
      </c>
      <c r="D81" s="1">
        <v>21</v>
      </c>
      <c r="E81" s="1"/>
      <c r="F81" s="511"/>
      <c r="G81" s="1"/>
      <c r="H81" s="1"/>
      <c r="I81" s="1"/>
      <c r="J81" s="1"/>
      <c r="K81" s="1"/>
      <c r="L81" s="1"/>
      <c r="M81" s="1"/>
      <c r="N81" s="1"/>
      <c r="O81" s="1"/>
      <c r="P81" s="1"/>
      <c r="Q81" s="1"/>
    </row>
    <row r="82" spans="3:17">
      <c r="C82" s="511">
        <f t="shared" si="1"/>
        <v>13.1</v>
      </c>
      <c r="D82" s="1">
        <v>19</v>
      </c>
      <c r="E82" s="1"/>
      <c r="F82" s="511"/>
      <c r="G82" s="1"/>
      <c r="H82" s="1"/>
      <c r="I82" s="1"/>
      <c r="J82" s="1"/>
      <c r="K82" s="1"/>
      <c r="L82" s="1"/>
      <c r="M82" s="1"/>
      <c r="N82" s="1"/>
      <c r="O82" s="1"/>
      <c r="P82" s="1"/>
      <c r="Q82" s="1"/>
    </row>
    <row r="83" spans="3:17">
      <c r="C83" s="511">
        <f t="shared" si="1"/>
        <v>14.1</v>
      </c>
      <c r="D83" s="1">
        <v>17</v>
      </c>
      <c r="E83" s="1"/>
      <c r="F83" s="511"/>
      <c r="G83" s="1"/>
      <c r="H83" s="1"/>
      <c r="I83" s="1"/>
      <c r="J83" s="1"/>
      <c r="K83" s="1"/>
      <c r="L83" s="1"/>
      <c r="M83" s="1"/>
      <c r="N83" s="1"/>
      <c r="O83" s="1"/>
      <c r="P83" s="1"/>
      <c r="Q83" s="1"/>
    </row>
    <row r="84" spans="3:17">
      <c r="C84" s="511">
        <f t="shared" si="1"/>
        <v>15.1</v>
      </c>
      <c r="D84" s="1">
        <v>14</v>
      </c>
      <c r="E84" s="1"/>
      <c r="F84" s="511"/>
      <c r="G84" s="1"/>
      <c r="H84" s="1"/>
      <c r="I84" s="1"/>
      <c r="J84" s="1"/>
      <c r="K84" s="1"/>
      <c r="L84" s="1"/>
      <c r="M84" s="1"/>
      <c r="N84" s="1"/>
      <c r="O84" s="1"/>
      <c r="P84" s="1"/>
      <c r="Q84" s="1"/>
    </row>
    <row r="85" spans="3:17">
      <c r="C85" s="511">
        <f t="shared" si="1"/>
        <v>16.100000000000001</v>
      </c>
      <c r="D85" s="1">
        <v>11</v>
      </c>
      <c r="E85" s="1"/>
      <c r="F85" s="511"/>
      <c r="G85" s="1"/>
      <c r="H85" s="1"/>
      <c r="I85" s="1"/>
      <c r="J85" s="1"/>
      <c r="K85" s="1"/>
      <c r="L85" s="1"/>
      <c r="M85" s="1"/>
      <c r="N85" s="1"/>
      <c r="O85" s="1"/>
      <c r="P85" s="1"/>
      <c r="Q85" s="1"/>
    </row>
    <row r="86" spans="3:17">
      <c r="C86" s="511">
        <f t="shared" si="1"/>
        <v>17.100000000000001</v>
      </c>
      <c r="D86" s="1">
        <v>8</v>
      </c>
      <c r="E86" s="1"/>
      <c r="F86" s="511"/>
      <c r="G86" s="1"/>
      <c r="H86" s="1"/>
      <c r="I86" s="1"/>
      <c r="J86" s="1"/>
      <c r="K86" s="1"/>
      <c r="L86" s="1"/>
      <c r="M86" s="1"/>
      <c r="N86" s="1"/>
      <c r="O86" s="1"/>
      <c r="P86" s="1"/>
      <c r="Q86" s="1"/>
    </row>
    <row r="87" spans="3:17">
      <c r="C87" s="511">
        <f t="shared" si="1"/>
        <v>18.100000000000001</v>
      </c>
      <c r="D87" s="1">
        <v>5</v>
      </c>
      <c r="E87" s="1"/>
      <c r="F87" s="511"/>
      <c r="G87" s="1"/>
      <c r="H87" s="1"/>
      <c r="I87" s="1"/>
      <c r="J87" s="1"/>
      <c r="K87" s="1"/>
      <c r="L87" s="1"/>
      <c r="M87" s="1"/>
      <c r="N87" s="1"/>
      <c r="O87" s="1"/>
      <c r="P87" s="1"/>
      <c r="Q87" s="1"/>
    </row>
    <row r="88" spans="3:17">
      <c r="C88" s="511">
        <f t="shared" si="1"/>
        <v>19.100000000000001</v>
      </c>
      <c r="D88" s="1">
        <v>2</v>
      </c>
      <c r="E88" s="1"/>
      <c r="F88" s="511"/>
      <c r="G88" s="1"/>
      <c r="H88" s="1"/>
      <c r="I88" s="1"/>
      <c r="J88" s="1"/>
      <c r="K88" s="1"/>
      <c r="L88" s="1"/>
      <c r="M88" s="1"/>
      <c r="N88" s="1"/>
      <c r="O88" s="1"/>
      <c r="P88" s="1"/>
      <c r="Q88" s="1"/>
    </row>
    <row r="89" spans="3:17">
      <c r="C89" s="511">
        <f t="shared" si="1"/>
        <v>20.100000000000001</v>
      </c>
      <c r="D89" s="1">
        <v>0</v>
      </c>
      <c r="E89" s="1"/>
      <c r="F89" s="1"/>
      <c r="G89" s="1"/>
      <c r="H89" s="1"/>
      <c r="I89" s="1"/>
      <c r="J89" s="1"/>
      <c r="K89" s="1"/>
      <c r="L89" s="1"/>
      <c r="M89" s="1"/>
      <c r="N89" s="1"/>
      <c r="O89" s="1"/>
      <c r="P89" s="1"/>
      <c r="Q89" s="1"/>
    </row>
  </sheetData>
  <mergeCells count="10">
    <mergeCell ref="L1:M1"/>
    <mergeCell ref="O66:P66"/>
    <mergeCell ref="C39:D39"/>
    <mergeCell ref="F39:G39"/>
    <mergeCell ref="I39:J39"/>
    <mergeCell ref="L39:M39"/>
    <mergeCell ref="C66:D66"/>
    <mergeCell ref="F66:G66"/>
    <mergeCell ref="I66:J66"/>
    <mergeCell ref="L66:M66"/>
  </mergeCells>
  <hyperlinks>
    <hyperlink ref="C4" location="'Sommaire Outil'!A1" display="retour sommaire" xr:uid="{00000000-0004-0000-0C00-000000000000}"/>
    <hyperlink ref="L1" location="'Bilan EGALIZ'!A1" display="BILAN EGALIZ" xr:uid="{9F251455-C758-D449-8660-AF7869D67332}"/>
    <hyperlink ref="L1:M1" location="DIAGNOSTIC!A1" display="BILAN EGALIZ" xr:uid="{8D78BFEF-3746-034F-8438-04A6198BEFE2}"/>
    <hyperlink ref="C1" location="SOMMAIRE!A1" display="SOMMAIRE" xr:uid="{1B0DD91D-535D-714D-81B5-E7D79AFC9B2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theme="3"/>
  </sheetPr>
  <dimension ref="A1:CB312"/>
  <sheetViews>
    <sheetView showGridLines="0" zoomScale="90" zoomScaleNormal="90" workbookViewId="0">
      <pane ySplit="12" topLeftCell="A93" activePane="bottomLeft" state="frozen"/>
      <selection pane="bottomLeft" activeCell="D1" sqref="D1:E1"/>
    </sheetView>
  </sheetViews>
  <sheetFormatPr baseColWidth="10" defaultColWidth="11.83203125" defaultRowHeight="16"/>
  <cols>
    <col min="1" max="1" width="7.83203125" style="140" customWidth="1"/>
    <col min="2" max="2" width="3.6640625" style="68" customWidth="1"/>
    <col min="3" max="3" width="2.5" style="68" customWidth="1"/>
    <col min="4" max="4" width="25.33203125" style="68" customWidth="1"/>
    <col min="5" max="5" width="8.33203125" style="68" bestFit="1" customWidth="1"/>
    <col min="6" max="6" width="9.1640625" style="68" customWidth="1"/>
    <col min="7" max="7" width="12.5" style="68" bestFit="1" customWidth="1"/>
    <col min="8" max="8" width="13" style="68" customWidth="1"/>
    <col min="9" max="12" width="7" style="68" customWidth="1"/>
    <col min="13" max="13" width="22.5" style="68" customWidth="1"/>
    <col min="14" max="14" width="14.6640625" style="68" bestFit="1" customWidth="1"/>
    <col min="15" max="16" width="8.33203125" style="68" bestFit="1" customWidth="1"/>
    <col min="17" max="19" width="4.83203125" style="68" customWidth="1"/>
    <col min="20" max="20" width="1.83203125" style="68" customWidth="1"/>
    <col min="21" max="21" width="6.6640625" style="68" customWidth="1"/>
    <col min="22" max="22" width="27.5" style="68" customWidth="1"/>
    <col min="23" max="28" width="11.33203125" style="68" customWidth="1"/>
    <col min="29" max="29" width="15.33203125" style="68" customWidth="1"/>
    <col min="30" max="44" width="9" style="68" customWidth="1"/>
    <col min="45" max="50" width="7.5" style="68" customWidth="1"/>
    <col min="51" max="16384" width="11.83203125" style="68"/>
  </cols>
  <sheetData>
    <row r="1" spans="1:31" s="140" customFormat="1" ht="47" customHeight="1">
      <c r="D1" s="1404" t="s">
        <v>980</v>
      </c>
      <c r="E1" s="1404"/>
      <c r="H1" s="1162" t="s">
        <v>550</v>
      </c>
      <c r="U1" s="1286" t="s">
        <v>382</v>
      </c>
      <c r="V1" s="1286"/>
    </row>
    <row r="11" spans="1:31" ht="33" customHeight="1"/>
    <row r="13" spans="1:31" ht="8" customHeight="1">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row>
    <row r="14" spans="1:31" customFormat="1">
      <c r="A14" s="140"/>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row>
    <row r="15" spans="1:31" customFormat="1" ht="58.5" customHeight="1">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row>
    <row r="16" spans="1:31" ht="16" customHeight="1">
      <c r="B16" s="141"/>
      <c r="C16" s="141"/>
      <c r="M16" s="859"/>
      <c r="N16" s="859"/>
      <c r="O16" s="859"/>
      <c r="P16" s="859"/>
      <c r="Q16" s="859"/>
      <c r="R16" s="859"/>
      <c r="S16" s="859"/>
      <c r="T16" s="859"/>
      <c r="U16" s="859"/>
      <c r="V16" s="859"/>
    </row>
    <row r="17" spans="1:34" s="514" customFormat="1" ht="23">
      <c r="A17" s="140"/>
      <c r="B17" s="141"/>
      <c r="C17" s="858" t="s">
        <v>73</v>
      </c>
      <c r="D17" s="68"/>
      <c r="E17" s="68"/>
      <c r="F17" s="68"/>
      <c r="G17" s="68"/>
      <c r="H17" s="68"/>
      <c r="I17" s="68"/>
      <c r="J17" s="68"/>
      <c r="K17" s="68"/>
      <c r="L17" s="859"/>
      <c r="M17" s="859"/>
      <c r="N17" s="859"/>
      <c r="O17" s="859"/>
      <c r="P17" s="859"/>
      <c r="Q17" s="859"/>
      <c r="R17" s="859"/>
      <c r="S17" s="859"/>
      <c r="T17" s="859"/>
      <c r="U17" s="859"/>
      <c r="V17" s="859"/>
      <c r="W17" s="68"/>
      <c r="X17" s="415"/>
      <c r="Y17" s="68"/>
      <c r="Z17" s="68"/>
      <c r="AA17" s="68"/>
    </row>
    <row r="18" spans="1:34" s="514" customFormat="1" ht="6" customHeight="1">
      <c r="A18" s="140"/>
      <c r="B18" s="141"/>
      <c r="C18" s="143"/>
      <c r="D18" s="68"/>
      <c r="E18" s="68"/>
      <c r="F18" s="68"/>
      <c r="G18" s="68"/>
      <c r="H18" s="68"/>
      <c r="I18" s="68"/>
      <c r="J18" s="68"/>
      <c r="K18" s="68"/>
      <c r="L18" s="859"/>
      <c r="M18" s="859"/>
      <c r="N18" s="859"/>
      <c r="O18" s="859"/>
      <c r="P18" s="859"/>
      <c r="Q18" s="859"/>
      <c r="R18" s="859"/>
      <c r="S18" s="859"/>
      <c r="T18" s="859"/>
      <c r="U18" s="859"/>
      <c r="V18" s="859"/>
      <c r="W18" s="68"/>
      <c r="X18" s="68"/>
      <c r="Y18" s="68"/>
      <c r="Z18" s="68"/>
      <c r="AA18" s="68"/>
    </row>
    <row r="19" spans="1:34" s="514" customFormat="1" ht="16" customHeight="1">
      <c r="A19" s="140"/>
      <c r="B19" s="141"/>
      <c r="C19" s="1421" t="s">
        <v>216</v>
      </c>
      <c r="D19" s="1422"/>
      <c r="E19" s="1422"/>
      <c r="H19" s="68"/>
      <c r="I19" s="68"/>
      <c r="J19" s="68"/>
      <c r="K19" s="1420"/>
      <c r="L19" s="1420"/>
      <c r="M19" s="1420"/>
      <c r="N19" s="1420"/>
      <c r="O19" s="1420"/>
      <c r="P19" s="1420"/>
      <c r="Q19" s="1420"/>
      <c r="R19" s="1420"/>
      <c r="S19" s="1420"/>
      <c r="T19" s="1420"/>
      <c r="U19" s="1420"/>
      <c r="V19" s="1420"/>
      <c r="W19" s="68"/>
    </row>
    <row r="20" spans="1:34" s="514" customFormat="1">
      <c r="A20" s="140"/>
      <c r="B20" s="141"/>
      <c r="C20" s="143" t="s">
        <v>549</v>
      </c>
      <c r="D20" s="68"/>
      <c r="E20" s="68"/>
      <c r="F20" s="68"/>
      <c r="H20" s="68"/>
      <c r="I20" s="68"/>
      <c r="J20" s="68"/>
      <c r="K20" s="1420"/>
      <c r="L20" s="1420"/>
      <c r="M20" s="1420"/>
      <c r="N20" s="1420"/>
      <c r="O20" s="1420"/>
      <c r="P20" s="1420"/>
      <c r="Q20" s="1420"/>
      <c r="R20" s="1420"/>
      <c r="S20" s="1420"/>
      <c r="T20" s="1420"/>
      <c r="U20" s="1420"/>
      <c r="V20" s="1420"/>
      <c r="W20" s="68"/>
      <c r="X20" s="68"/>
      <c r="Y20" s="68"/>
      <c r="Z20" s="68"/>
      <c r="AA20" s="68"/>
    </row>
    <row r="21" spans="1:34" s="514" customFormat="1">
      <c r="A21" s="140"/>
      <c r="B21" s="68"/>
      <c r="C21" s="68"/>
      <c r="D21"/>
      <c r="E21"/>
      <c r="F21" s="157"/>
      <c r="G21" s="157"/>
      <c r="H21" s="157"/>
      <c r="I21" s="157"/>
      <c r="J21" s="157"/>
      <c r="K21" s="157"/>
      <c r="L21" s="157"/>
      <c r="M21" s="68"/>
      <c r="N21"/>
      <c r="O21"/>
      <c r="P21" s="68"/>
      <c r="Q21" s="68"/>
      <c r="R21" s="68"/>
      <c r="S21" s="68"/>
      <c r="T21" s="68"/>
      <c r="U21" s="68"/>
      <c r="V21" s="68"/>
      <c r="W21" s="68"/>
      <c r="X21"/>
      <c r="Y21"/>
      <c r="Z21" s="68"/>
      <c r="AA21" s="68"/>
      <c r="AB21" s="68"/>
      <c r="AC21" s="68"/>
    </row>
    <row r="22" spans="1:34" s="514" customFormat="1" ht="29" customHeight="1">
      <c r="A22" s="140"/>
      <c r="B22" s="68"/>
      <c r="C22" s="68"/>
      <c r="D22" s="618" t="s">
        <v>617</v>
      </c>
      <c r="F22" s="157"/>
      <c r="H22" s="157"/>
      <c r="I22" s="157"/>
      <c r="J22" s="157"/>
      <c r="K22" s="157"/>
      <c r="L22" s="157"/>
      <c r="M22"/>
      <c r="N22"/>
      <c r="O22" s="68"/>
      <c r="P22" s="68"/>
      <c r="R22" s="68"/>
      <c r="S22" s="68"/>
      <c r="T22" s="68"/>
      <c r="U22" s="68"/>
      <c r="V22" s="68"/>
      <c r="W22" s="68"/>
      <c r="X22"/>
      <c r="Y22"/>
      <c r="Z22" s="68"/>
      <c r="AA22" s="68"/>
      <c r="AB22" s="68"/>
      <c r="AC22" s="68"/>
    </row>
    <row r="23" spans="1:34" s="514" customFormat="1">
      <c r="A23" s="140"/>
      <c r="B23" s="68"/>
      <c r="C23" s="68"/>
      <c r="D23" s="143" t="s">
        <v>69</v>
      </c>
      <c r="E23"/>
      <c r="F23" s="157"/>
      <c r="G23" s="157"/>
      <c r="H23" s="157"/>
      <c r="I23" s="157"/>
      <c r="J23" s="157"/>
      <c r="K23" s="157"/>
      <c r="L23" s="157"/>
      <c r="M23" s="143" t="s">
        <v>70</v>
      </c>
      <c r="N23"/>
      <c r="O23" s="68"/>
      <c r="P23" s="68"/>
      <c r="R23" s="68"/>
      <c r="V23" s="143" t="s">
        <v>220</v>
      </c>
      <c r="W23"/>
      <c r="X23" s="68"/>
      <c r="Y23" s="68"/>
      <c r="Z23" s="68"/>
      <c r="AC23" s="68"/>
    </row>
    <row r="24" spans="1:34" s="514" customFormat="1">
      <c r="A24" s="140"/>
      <c r="B24" s="68"/>
      <c r="C24" s="68"/>
      <c r="D24" s="157"/>
      <c r="E24" s="157"/>
      <c r="F24" s="157"/>
      <c r="G24" s="157"/>
      <c r="H24" s="157"/>
      <c r="I24" s="157"/>
      <c r="J24" s="157"/>
      <c r="K24" s="157"/>
      <c r="L24" s="157"/>
      <c r="M24" s="68"/>
      <c r="N24" s="68"/>
      <c r="O24" s="68"/>
      <c r="P24" s="68"/>
      <c r="R24" s="68"/>
      <c r="V24" s="68"/>
      <c r="W24" s="68"/>
      <c r="X24" s="68"/>
      <c r="Y24" s="68"/>
      <c r="Z24" s="68"/>
      <c r="AC24" s="68"/>
    </row>
    <row r="25" spans="1:34" s="514" customFormat="1">
      <c r="A25" s="140"/>
      <c r="B25" s="68"/>
      <c r="C25" s="68"/>
      <c r="D25" s="520" t="s">
        <v>13</v>
      </c>
      <c r="E25" s="520" t="s">
        <v>14</v>
      </c>
      <c r="F25" s="521"/>
      <c r="G25" s="522"/>
      <c r="H25"/>
      <c r="I25" s="157"/>
      <c r="J25" s="157"/>
      <c r="K25" s="157"/>
      <c r="L25" s="157"/>
      <c r="M25" s="426" t="s">
        <v>13</v>
      </c>
      <c r="N25" s="426" t="s">
        <v>14</v>
      </c>
      <c r="O25" s="537"/>
      <c r="P25"/>
      <c r="R25"/>
      <c r="V25" s="426" t="s">
        <v>13</v>
      </c>
      <c r="W25" s="426" t="s">
        <v>24</v>
      </c>
      <c r="X25" s="548"/>
      <c r="Y25" s="537"/>
      <c r="Z25"/>
      <c r="AC25" s="68"/>
      <c r="AD25" s="68"/>
      <c r="AE25" s="68"/>
      <c r="AF25" s="68"/>
      <c r="AG25" s="68"/>
      <c r="AH25" s="68"/>
    </row>
    <row r="26" spans="1:34" s="514" customFormat="1">
      <c r="A26" s="140"/>
      <c r="B26" s="68"/>
      <c r="C26" s="68"/>
      <c r="D26" s="520" t="s">
        <v>24</v>
      </c>
      <c r="E26" s="523" t="s">
        <v>27</v>
      </c>
      <c r="F26" s="524" t="s">
        <v>47</v>
      </c>
      <c r="G26" s="525" t="s">
        <v>551</v>
      </c>
      <c r="H26"/>
      <c r="I26" s="157"/>
      <c r="J26" s="157"/>
      <c r="K26" s="157"/>
      <c r="L26" s="157"/>
      <c r="M26" s="426" t="s">
        <v>24</v>
      </c>
      <c r="N26" s="538" t="s">
        <v>27</v>
      </c>
      <c r="O26" s="539" t="s">
        <v>47</v>
      </c>
      <c r="P26"/>
      <c r="R26"/>
      <c r="V26" s="426" t="s">
        <v>14</v>
      </c>
      <c r="W26" s="549" t="s">
        <v>22</v>
      </c>
      <c r="X26" s="550" t="s">
        <v>23</v>
      </c>
      <c r="Y26" s="551" t="s">
        <v>38</v>
      </c>
      <c r="Z26"/>
      <c r="AC26" s="68"/>
      <c r="AD26" s="68"/>
      <c r="AE26" s="68"/>
      <c r="AF26" s="68"/>
      <c r="AG26" s="68"/>
      <c r="AH26" s="68"/>
    </row>
    <row r="27" spans="1:34" s="514" customFormat="1">
      <c r="A27" s="140"/>
      <c r="B27" s="68"/>
      <c r="C27" s="68"/>
      <c r="D27" s="520" t="s">
        <v>22</v>
      </c>
      <c r="E27" s="526">
        <v>154</v>
      </c>
      <c r="F27" s="527">
        <v>88</v>
      </c>
      <c r="G27" s="528">
        <v>242</v>
      </c>
      <c r="H27"/>
      <c r="I27" s="157"/>
      <c r="J27" s="157"/>
      <c r="K27" s="157"/>
      <c r="L27" s="157"/>
      <c r="M27" s="538" t="s">
        <v>22</v>
      </c>
      <c r="N27" s="540">
        <v>0.63636363636363635</v>
      </c>
      <c r="O27" s="541">
        <v>0.36363636363636365</v>
      </c>
      <c r="P27"/>
      <c r="R27"/>
      <c r="V27" s="538" t="s">
        <v>47</v>
      </c>
      <c r="W27" s="552">
        <v>0.73333333333333328</v>
      </c>
      <c r="X27" s="553">
        <v>0.21666666666666667</v>
      </c>
      <c r="Y27" s="554">
        <v>0.05</v>
      </c>
      <c r="Z27"/>
      <c r="AC27" s="68"/>
      <c r="AD27" s="68"/>
      <c r="AE27" s="68"/>
      <c r="AF27" s="68"/>
      <c r="AG27" s="68"/>
      <c r="AH27" s="68"/>
    </row>
    <row r="28" spans="1:34" s="514" customFormat="1">
      <c r="A28" s="140"/>
      <c r="B28" s="68"/>
      <c r="C28" s="68"/>
      <c r="D28" s="529" t="s">
        <v>23</v>
      </c>
      <c r="E28" s="530">
        <v>41</v>
      </c>
      <c r="F28" s="531">
        <v>26</v>
      </c>
      <c r="G28" s="532">
        <v>67</v>
      </c>
      <c r="H28"/>
      <c r="I28" s="157"/>
      <c r="J28" s="157"/>
      <c r="K28" s="157"/>
      <c r="L28" s="157"/>
      <c r="M28" s="542" t="s">
        <v>38</v>
      </c>
      <c r="N28" s="543">
        <v>0.45454545454545453</v>
      </c>
      <c r="O28" s="544">
        <v>0.54545454545454541</v>
      </c>
      <c r="P28"/>
      <c r="R28"/>
      <c r="V28" s="542" t="s">
        <v>27</v>
      </c>
      <c r="W28" s="555">
        <v>0.77</v>
      </c>
      <c r="X28" s="556">
        <v>0.20499999999999999</v>
      </c>
      <c r="Y28" s="557">
        <v>2.5000000000000001E-2</v>
      </c>
      <c r="Z28"/>
      <c r="AC28" s="68"/>
      <c r="AD28" s="68"/>
      <c r="AE28" s="68"/>
      <c r="AF28" s="68"/>
      <c r="AG28" s="68"/>
      <c r="AH28" s="68"/>
    </row>
    <row r="29" spans="1:34" s="514" customFormat="1">
      <c r="A29" s="140"/>
      <c r="B29" s="68"/>
      <c r="C29" s="68"/>
      <c r="D29" s="529" t="s">
        <v>38</v>
      </c>
      <c r="E29" s="530">
        <v>5</v>
      </c>
      <c r="F29" s="531">
        <v>6</v>
      </c>
      <c r="G29" s="532">
        <v>11</v>
      </c>
      <c r="H29"/>
      <c r="I29" s="157"/>
      <c r="J29" s="157"/>
      <c r="K29" s="157"/>
      <c r="L29" s="157"/>
      <c r="M29" s="542" t="s">
        <v>23</v>
      </c>
      <c r="N29" s="543">
        <v>0.61194029850746268</v>
      </c>
      <c r="O29" s="544">
        <v>0.38805970149253732</v>
      </c>
      <c r="P29"/>
      <c r="R29"/>
      <c r="V29" s="545" t="s">
        <v>551</v>
      </c>
      <c r="W29" s="558">
        <v>0.75624999999999998</v>
      </c>
      <c r="X29" s="559">
        <v>0.20937500000000001</v>
      </c>
      <c r="Y29" s="560">
        <v>3.4375000000000003E-2</v>
      </c>
      <c r="Z29"/>
      <c r="AC29" s="68"/>
      <c r="AD29" s="68"/>
      <c r="AE29" s="68"/>
      <c r="AF29" s="68"/>
      <c r="AG29" s="68"/>
      <c r="AH29" s="68"/>
    </row>
    <row r="30" spans="1:34" s="514" customFormat="1">
      <c r="A30" s="140"/>
      <c r="B30" s="68"/>
      <c r="C30" s="68"/>
      <c r="D30" s="533" t="s">
        <v>551</v>
      </c>
      <c r="E30" s="534">
        <v>200</v>
      </c>
      <c r="F30" s="535">
        <v>120</v>
      </c>
      <c r="G30" s="536">
        <v>320</v>
      </c>
      <c r="H30"/>
      <c r="I30" s="157"/>
      <c r="J30" s="157"/>
      <c r="K30" s="157"/>
      <c r="L30" s="157"/>
      <c r="M30" s="545" t="s">
        <v>551</v>
      </c>
      <c r="N30" s="546">
        <v>0.625</v>
      </c>
      <c r="O30" s="547">
        <v>0.375</v>
      </c>
      <c r="P30"/>
      <c r="R30"/>
      <c r="S30" s="68"/>
      <c r="T30" s="68"/>
      <c r="U30" s="68"/>
      <c r="V30"/>
      <c r="W30"/>
      <c r="X30"/>
      <c r="Y30"/>
      <c r="Z30"/>
      <c r="AA30"/>
      <c r="AB30"/>
      <c r="AC30" s="68"/>
      <c r="AD30" s="68"/>
      <c r="AE30" s="68"/>
      <c r="AF30" s="68"/>
      <c r="AG30" s="68"/>
      <c r="AH30" s="68"/>
    </row>
    <row r="31" spans="1:34" s="514" customFormat="1">
      <c r="A31" s="140"/>
      <c r="B31" s="68"/>
      <c r="C31" s="68"/>
      <c r="D31"/>
      <c r="E31"/>
      <c r="F31"/>
      <c r="G31"/>
      <c r="H31"/>
      <c r="I31" s="157"/>
      <c r="J31" s="157"/>
      <c r="K31" s="157"/>
      <c r="L31" s="157"/>
      <c r="M31" s="68"/>
      <c r="N31"/>
      <c r="O31"/>
      <c r="P31"/>
      <c r="Q31"/>
      <c r="R31"/>
      <c r="S31" s="68"/>
      <c r="T31" s="68"/>
      <c r="U31" s="68"/>
      <c r="V31" s="68"/>
      <c r="W31" s="68"/>
      <c r="X31" s="68"/>
      <c r="Y31" s="68"/>
      <c r="Z31" s="68"/>
      <c r="AA31" s="68"/>
      <c r="AB31" s="68"/>
      <c r="AC31" s="68"/>
    </row>
    <row r="32" spans="1:34" s="514" customFormat="1">
      <c r="A32" s="140"/>
      <c r="B32" s="68"/>
      <c r="C32" s="68"/>
      <c r="D32" s="516"/>
      <c r="E32" s="517"/>
      <c r="F32" s="517"/>
      <c r="G32" s="68"/>
      <c r="H32" s="68"/>
      <c r="I32" s="68"/>
      <c r="J32" s="68"/>
      <c r="K32" s="68"/>
      <c r="L32" s="68"/>
      <c r="M32" s="68"/>
      <c r="N32" s="136"/>
      <c r="O32" s="163"/>
      <c r="P32" s="163"/>
      <c r="Q32" s="146"/>
      <c r="R32" s="68"/>
      <c r="S32" s="68"/>
      <c r="T32" s="68"/>
      <c r="U32" s="68"/>
      <c r="V32" s="68"/>
      <c r="W32" s="68"/>
      <c r="X32" s="68"/>
      <c r="Y32" s="68"/>
      <c r="Z32" s="68"/>
      <c r="AA32" s="68"/>
      <c r="AB32" s="68"/>
    </row>
    <row r="33" spans="1:28" s="514" customFormat="1">
      <c r="A33" s="140"/>
      <c r="B33" s="68"/>
      <c r="C33" s="68"/>
      <c r="D33" s="516"/>
      <c r="E33" s="517"/>
      <c r="F33" s="517"/>
      <c r="G33" s="68"/>
      <c r="H33" s="68"/>
      <c r="I33" s="68"/>
      <c r="J33" s="68"/>
      <c r="K33" s="68"/>
      <c r="L33" s="68"/>
      <c r="M33" s="68"/>
      <c r="N33" s="136"/>
      <c r="O33" s="163"/>
      <c r="P33" s="163"/>
      <c r="Q33" s="146"/>
      <c r="R33" s="68"/>
      <c r="S33" s="68"/>
      <c r="T33" s="68"/>
      <c r="U33" s="68"/>
      <c r="V33" s="68"/>
      <c r="W33" s="68"/>
      <c r="X33" s="68"/>
      <c r="Y33" s="68"/>
      <c r="Z33" s="68"/>
      <c r="AA33" s="68"/>
      <c r="AB33" s="68"/>
    </row>
    <row r="34" spans="1:28" s="514" customFormat="1">
      <c r="A34" s="140"/>
      <c r="B34" s="68"/>
      <c r="C34" s="68"/>
      <c r="D34" s="516"/>
      <c r="E34" s="517"/>
      <c r="F34" s="517"/>
      <c r="G34" s="68"/>
      <c r="H34" s="68"/>
      <c r="I34" s="68"/>
      <c r="J34" s="68"/>
      <c r="K34" s="68"/>
      <c r="L34" s="68"/>
      <c r="M34" s="68"/>
      <c r="N34" s="136"/>
      <c r="O34" s="163"/>
      <c r="P34" s="163"/>
      <c r="Q34" s="146"/>
      <c r="R34" s="68"/>
      <c r="S34" s="68"/>
      <c r="T34" s="68"/>
      <c r="U34" s="68"/>
      <c r="V34" s="68"/>
      <c r="W34" s="68"/>
      <c r="X34" s="68"/>
      <c r="Y34" s="68"/>
      <c r="Z34" s="68"/>
      <c r="AA34" s="68"/>
      <c r="AB34" s="68"/>
    </row>
    <row r="35" spans="1:28" s="514" customFormat="1">
      <c r="A35" s="140"/>
      <c r="B35" s="68"/>
      <c r="C35" s="68"/>
      <c r="D35" s="516"/>
      <c r="E35" s="517"/>
      <c r="F35" s="517"/>
      <c r="G35" s="68"/>
      <c r="H35" s="68"/>
      <c r="I35" s="68"/>
      <c r="J35" s="68"/>
      <c r="K35" s="68"/>
      <c r="L35" s="68"/>
      <c r="M35" s="68"/>
      <c r="N35" s="68"/>
      <c r="O35" s="68"/>
      <c r="P35" s="68"/>
      <c r="Q35" s="68"/>
      <c r="R35" s="68"/>
      <c r="S35" s="68"/>
      <c r="T35" s="68"/>
      <c r="U35" s="68"/>
      <c r="V35" s="68"/>
      <c r="W35" s="68"/>
      <c r="X35" s="68"/>
      <c r="Y35" s="68"/>
      <c r="Z35" s="68"/>
      <c r="AA35" s="68"/>
      <c r="AB35" s="68"/>
    </row>
    <row r="36" spans="1:28" s="514" customFormat="1">
      <c r="A36" s="140"/>
      <c r="B36" s="68"/>
      <c r="C36" s="68"/>
      <c r="D36" s="516"/>
      <c r="E36" s="517"/>
      <c r="F36" s="517"/>
      <c r="G36" s="68"/>
      <c r="H36" s="68"/>
      <c r="I36" s="68"/>
      <c r="J36" s="68"/>
      <c r="K36" s="68"/>
      <c r="L36" s="68"/>
      <c r="M36" s="68"/>
      <c r="N36" s="68"/>
      <c r="O36" s="68"/>
      <c r="P36" s="68"/>
      <c r="Q36" s="68"/>
      <c r="R36" s="68"/>
      <c r="S36" s="68"/>
      <c r="T36" s="68"/>
      <c r="U36" s="68"/>
      <c r="V36" s="68"/>
      <c r="W36" s="68"/>
      <c r="X36" s="68"/>
      <c r="Y36" s="68"/>
      <c r="Z36" s="68"/>
      <c r="AA36" s="68"/>
      <c r="AB36" s="68"/>
    </row>
    <row r="37" spans="1:28" s="514" customFormat="1">
      <c r="A37" s="140"/>
      <c r="B37" s="68"/>
      <c r="C37" s="68"/>
      <c r="D37" s="516"/>
      <c r="E37" s="517"/>
      <c r="F37" s="517"/>
      <c r="G37" s="68"/>
      <c r="H37" s="68"/>
      <c r="I37" s="68"/>
      <c r="J37" s="68"/>
      <c r="K37" s="68"/>
      <c r="L37" s="68"/>
      <c r="M37" s="68"/>
      <c r="N37" s="68"/>
      <c r="O37" s="68"/>
      <c r="P37" s="68"/>
      <c r="Q37" s="68"/>
      <c r="R37" s="68"/>
      <c r="S37" s="68"/>
      <c r="T37" s="68"/>
      <c r="U37" s="68"/>
      <c r="V37" s="68"/>
      <c r="W37" s="68"/>
      <c r="X37" s="68"/>
      <c r="Y37" s="68"/>
      <c r="Z37" s="68"/>
      <c r="AA37" s="68"/>
      <c r="AB37" s="68"/>
    </row>
    <row r="38" spans="1:28" s="514" customFormat="1">
      <c r="A38" s="140"/>
      <c r="B38" s="68"/>
      <c r="C38" s="68"/>
      <c r="D38" s="516"/>
      <c r="E38" s="517"/>
      <c r="F38" s="517"/>
      <c r="G38" s="68"/>
      <c r="H38" s="68"/>
      <c r="I38" s="68"/>
      <c r="J38" s="68"/>
      <c r="K38" s="68"/>
      <c r="L38" s="68"/>
      <c r="M38" s="68"/>
      <c r="N38" s="68"/>
      <c r="O38" s="68"/>
      <c r="P38" s="68"/>
      <c r="Q38" s="68"/>
      <c r="R38" s="68"/>
      <c r="S38" s="68"/>
      <c r="T38" s="68"/>
      <c r="U38" s="68"/>
      <c r="V38" s="68"/>
      <c r="W38" s="68"/>
      <c r="X38" s="68"/>
      <c r="Y38" s="68"/>
      <c r="Z38" s="68"/>
      <c r="AA38" s="68"/>
      <c r="AB38" s="68"/>
    </row>
    <row r="39" spans="1:28" s="514" customFormat="1">
      <c r="A39" s="140"/>
      <c r="B39" s="68"/>
      <c r="C39" s="68"/>
      <c r="D39" s="516"/>
      <c r="E39" s="517"/>
      <c r="F39" s="517"/>
      <c r="G39" s="68"/>
      <c r="H39" s="68"/>
      <c r="I39" s="68"/>
      <c r="J39" s="68"/>
      <c r="K39" s="68"/>
      <c r="L39" s="68"/>
      <c r="M39" s="68"/>
      <c r="N39" s="68"/>
      <c r="O39" s="68"/>
      <c r="P39" s="68"/>
      <c r="Q39" s="68"/>
      <c r="R39" s="68"/>
      <c r="S39" s="68"/>
      <c r="T39" s="68"/>
      <c r="U39" s="68"/>
      <c r="V39" s="68"/>
      <c r="W39" s="68"/>
      <c r="X39" s="68"/>
      <c r="Y39" s="68"/>
      <c r="Z39" s="68"/>
      <c r="AA39" s="68"/>
      <c r="AB39" s="68"/>
    </row>
    <row r="40" spans="1:28" s="514" customFormat="1">
      <c r="A40" s="140"/>
      <c r="B40" s="68"/>
      <c r="C40" s="68"/>
      <c r="D40" s="516"/>
      <c r="E40" s="517"/>
      <c r="F40" s="517"/>
      <c r="G40" s="68"/>
      <c r="H40" s="68"/>
      <c r="I40" s="68"/>
      <c r="J40" s="68"/>
      <c r="K40" s="68"/>
      <c r="L40" s="68"/>
      <c r="M40" s="68"/>
      <c r="N40" s="68"/>
      <c r="O40" s="68"/>
      <c r="P40" s="68"/>
      <c r="Q40" s="68"/>
      <c r="R40" s="68"/>
      <c r="S40" s="68"/>
      <c r="T40" s="68"/>
      <c r="U40" s="68"/>
      <c r="V40" s="68"/>
      <c r="W40" s="68"/>
      <c r="X40" s="68"/>
      <c r="Y40" s="68"/>
      <c r="Z40" s="68"/>
      <c r="AA40" s="68"/>
      <c r="AB40" s="68"/>
    </row>
    <row r="41" spans="1:28" s="514" customFormat="1">
      <c r="A41" s="140"/>
      <c r="B41" s="68"/>
      <c r="C41" s="68"/>
      <c r="D41" s="516"/>
      <c r="E41" s="517"/>
      <c r="F41" s="517"/>
      <c r="G41" s="68"/>
      <c r="H41" s="68"/>
      <c r="I41" s="68"/>
      <c r="J41" s="68"/>
      <c r="K41" s="68"/>
      <c r="L41" s="68"/>
      <c r="M41" s="68"/>
      <c r="N41" s="68"/>
      <c r="O41" s="68"/>
      <c r="P41" s="68"/>
      <c r="Q41" s="68"/>
      <c r="R41" s="68"/>
      <c r="S41" s="68"/>
      <c r="T41" s="68"/>
      <c r="U41" s="68"/>
      <c r="V41" s="68"/>
      <c r="W41" s="68"/>
      <c r="X41" s="68"/>
      <c r="Y41" s="68"/>
      <c r="Z41" s="68"/>
      <c r="AA41" s="68"/>
      <c r="AB41" s="68"/>
    </row>
    <row r="42" spans="1:28" s="514" customFormat="1">
      <c r="A42" s="140"/>
      <c r="B42" s="68"/>
      <c r="C42" s="68"/>
      <c r="D42" s="516"/>
      <c r="E42" s="517"/>
      <c r="F42" s="517"/>
      <c r="G42" s="68"/>
      <c r="H42" s="68"/>
      <c r="I42" s="68"/>
      <c r="J42" s="68"/>
      <c r="K42" s="68"/>
      <c r="L42" s="68"/>
      <c r="M42" s="68"/>
      <c r="N42" s="68"/>
      <c r="O42" s="68"/>
      <c r="P42" s="68"/>
      <c r="Q42" s="68"/>
      <c r="R42" s="68"/>
      <c r="S42" s="68"/>
      <c r="T42" s="68"/>
      <c r="U42" s="68"/>
      <c r="V42" s="68"/>
      <c r="W42" s="68"/>
      <c r="X42" s="68"/>
      <c r="Y42" s="68"/>
      <c r="Z42" s="68"/>
      <c r="AA42" s="68"/>
      <c r="AB42" s="68"/>
    </row>
    <row r="43" spans="1:28" s="514" customFormat="1">
      <c r="A43" s="140"/>
      <c r="B43" s="68"/>
      <c r="C43" s="68"/>
      <c r="D43" s="516"/>
      <c r="E43" s="517"/>
      <c r="F43" s="517"/>
      <c r="G43" s="68"/>
      <c r="H43" s="68"/>
      <c r="I43" s="68"/>
      <c r="J43" s="68"/>
      <c r="K43" s="68"/>
      <c r="L43" s="68"/>
      <c r="M43" s="68"/>
      <c r="N43" s="68"/>
      <c r="O43" s="68"/>
      <c r="P43" s="68"/>
      <c r="Q43" s="68"/>
      <c r="R43" s="68"/>
      <c r="S43" s="68"/>
      <c r="T43" s="68"/>
      <c r="U43" s="68"/>
      <c r="V43" s="68"/>
      <c r="W43" s="68"/>
      <c r="X43" s="68"/>
      <c r="Y43" s="68"/>
      <c r="Z43" s="68"/>
      <c r="AA43" s="68"/>
      <c r="AB43" s="68"/>
    </row>
    <row r="44" spans="1:28" s="514" customFormat="1">
      <c r="A44" s="140"/>
      <c r="B44" s="68"/>
      <c r="C44" s="68"/>
      <c r="D44" s="516"/>
      <c r="E44" s="517"/>
      <c r="F44" s="517"/>
      <c r="G44" s="68"/>
      <c r="H44" s="68"/>
      <c r="I44" s="68"/>
      <c r="J44" s="68"/>
      <c r="K44" s="68"/>
      <c r="L44" s="68"/>
      <c r="M44" s="68"/>
      <c r="N44" s="68"/>
      <c r="O44" s="68"/>
      <c r="P44" s="68"/>
      <c r="Q44" s="68"/>
      <c r="R44" s="68"/>
      <c r="S44" s="68"/>
      <c r="T44" s="68"/>
      <c r="U44" s="68"/>
      <c r="V44" s="68"/>
      <c r="W44" s="68"/>
      <c r="X44" s="68"/>
      <c r="Y44" s="68"/>
      <c r="Z44" s="68"/>
      <c r="AA44" s="68"/>
      <c r="AB44" s="68"/>
    </row>
    <row r="45" spans="1:28" s="514" customFormat="1">
      <c r="A45" s="140"/>
      <c r="B45" s="68"/>
      <c r="C45" s="68"/>
      <c r="D45" s="157"/>
      <c r="E45" s="515"/>
      <c r="F45" s="68"/>
      <c r="G45" s="68"/>
      <c r="H45" s="68"/>
      <c r="I45" s="68"/>
      <c r="J45" s="68"/>
      <c r="K45" s="68"/>
      <c r="L45" s="68"/>
      <c r="M45" s="68"/>
      <c r="N45" s="68"/>
      <c r="O45" s="68"/>
      <c r="P45" s="68"/>
      <c r="Q45" s="68"/>
      <c r="R45" s="68"/>
      <c r="S45" s="68"/>
      <c r="T45" s="68"/>
      <c r="U45" s="68"/>
      <c r="V45" s="68"/>
      <c r="W45" s="68"/>
      <c r="X45" s="68"/>
      <c r="Y45" s="68"/>
      <c r="Z45" s="68"/>
      <c r="AA45" s="68"/>
      <c r="AB45" s="68"/>
    </row>
    <row r="46" spans="1:28" s="514" customFormat="1">
      <c r="A46" s="140"/>
      <c r="B46" s="68"/>
      <c r="C46" s="68"/>
      <c r="D46" s="68"/>
      <c r="E46" s="515"/>
      <c r="F46" s="68"/>
      <c r="G46" s="68"/>
      <c r="H46" s="68"/>
      <c r="I46" s="68"/>
      <c r="J46" s="68"/>
      <c r="K46" s="68"/>
      <c r="L46" s="68"/>
      <c r="M46" s="68"/>
      <c r="N46" s="68"/>
      <c r="O46" s="68"/>
      <c r="P46" s="68"/>
      <c r="Q46" s="68"/>
      <c r="R46" s="68"/>
      <c r="S46" s="68"/>
      <c r="T46" s="68"/>
      <c r="U46" s="68"/>
      <c r="V46" s="68"/>
      <c r="W46" s="68"/>
      <c r="X46" s="68"/>
      <c r="Y46" s="68"/>
      <c r="Z46" s="68"/>
      <c r="AA46" s="68"/>
      <c r="AB46" s="68"/>
    </row>
    <row r="47" spans="1:28" s="514" customFormat="1">
      <c r="A47" s="140"/>
      <c r="B47" s="143"/>
      <c r="C47" s="68"/>
      <c r="D47" s="68"/>
      <c r="E47" s="515"/>
      <c r="F47" s="68"/>
      <c r="G47" s="68"/>
      <c r="H47" s="68"/>
      <c r="I47" s="68"/>
      <c r="J47" s="68"/>
      <c r="K47" s="68"/>
      <c r="L47" s="68"/>
      <c r="M47" s="68"/>
      <c r="N47" s="68"/>
      <c r="O47" s="68"/>
      <c r="P47" s="68"/>
      <c r="Q47" s="68"/>
      <c r="R47" s="68"/>
      <c r="S47" s="68"/>
      <c r="T47" s="68"/>
      <c r="U47" s="68"/>
      <c r="V47" s="68"/>
      <c r="W47" s="68"/>
      <c r="X47" s="68"/>
      <c r="Y47" s="68"/>
      <c r="Z47" s="68"/>
      <c r="AA47" s="68"/>
      <c r="AB47" s="68"/>
    </row>
    <row r="48" spans="1:28" s="514" customFormat="1">
      <c r="A48" s="140"/>
      <c r="B48" s="143"/>
      <c r="C48" s="143"/>
      <c r="D48" s="68"/>
      <c r="E48" s="515"/>
      <c r="F48" s="68"/>
      <c r="G48" s="68"/>
      <c r="H48" s="68"/>
      <c r="I48" s="68"/>
      <c r="J48" s="68"/>
      <c r="K48" s="68"/>
      <c r="L48" s="68"/>
      <c r="M48" s="68"/>
      <c r="N48" s="68"/>
      <c r="O48" s="68"/>
      <c r="P48" s="68"/>
      <c r="Q48" s="68"/>
      <c r="R48" s="68"/>
      <c r="S48" s="68"/>
      <c r="T48" s="68"/>
      <c r="U48" s="68"/>
      <c r="V48" s="68"/>
      <c r="W48" s="68"/>
      <c r="X48" s="68"/>
      <c r="Y48" s="68"/>
      <c r="Z48" s="68"/>
      <c r="AA48" s="68"/>
      <c r="AB48" s="68"/>
    </row>
    <row r="49" spans="1:33" s="514" customFormat="1">
      <c r="A49" s="140"/>
      <c r="B49" s="68"/>
      <c r="C49" s="68"/>
      <c r="D49" s="68"/>
      <c r="E49" s="68"/>
      <c r="F49" s="136"/>
      <c r="G49" s="68"/>
      <c r="H49" s="68"/>
      <c r="I49" s="68"/>
      <c r="J49" s="68"/>
      <c r="K49" s="68"/>
      <c r="L49" s="68"/>
      <c r="M49" s="68"/>
      <c r="N49" s="68"/>
      <c r="O49" s="68"/>
      <c r="P49" s="68"/>
      <c r="Q49" s="68"/>
      <c r="R49" s="68"/>
      <c r="S49" s="68"/>
      <c r="T49" s="68"/>
      <c r="U49" s="68"/>
      <c r="V49" s="68"/>
      <c r="W49" s="68"/>
      <c r="X49" s="68"/>
      <c r="Y49" s="68"/>
      <c r="Z49" s="68"/>
      <c r="AA49" s="68"/>
      <c r="AB49" s="68"/>
    </row>
    <row r="50" spans="1:33" s="514" customFormat="1" ht="73" customHeight="1">
      <c r="A50" s="140"/>
      <c r="B50" s="68"/>
      <c r="C50" s="68"/>
      <c r="D50" s="1350" t="s">
        <v>472</v>
      </c>
      <c r="E50" s="1351"/>
      <c r="F50" s="1355"/>
      <c r="G50" s="1426" t="s">
        <v>477</v>
      </c>
      <c r="H50" s="1427"/>
      <c r="I50" s="1427"/>
      <c r="J50" s="1427"/>
      <c r="K50" s="1427"/>
      <c r="L50" s="1427"/>
      <c r="M50" s="1427"/>
      <c r="N50" s="1427"/>
      <c r="O50" s="1427"/>
      <c r="P50" s="1427"/>
      <c r="Q50" s="1427"/>
      <c r="R50" s="1427"/>
      <c r="S50" s="1427"/>
      <c r="T50" s="1427"/>
      <c r="U50" s="1427"/>
      <c r="V50" s="1427"/>
      <c r="W50" s="1427"/>
      <c r="X50" s="1427"/>
      <c r="Y50" s="1427"/>
      <c r="Z50" s="1427"/>
      <c r="AA50" s="1427"/>
      <c r="AB50" s="823"/>
      <c r="AC50" s="824"/>
      <c r="AD50" s="518"/>
    </row>
    <row r="51" spans="1:33" s="514" customFormat="1" ht="68" customHeight="1">
      <c r="A51" s="140"/>
      <c r="B51" s="68"/>
      <c r="C51" s="68"/>
      <c r="D51" s="1350" t="s">
        <v>473</v>
      </c>
      <c r="E51" s="1351"/>
      <c r="F51" s="1355"/>
      <c r="G51" s="1426" t="s">
        <v>478</v>
      </c>
      <c r="H51" s="1427"/>
      <c r="I51" s="1427"/>
      <c r="J51" s="1427"/>
      <c r="K51" s="1427"/>
      <c r="L51" s="1427"/>
      <c r="M51" s="1427"/>
      <c r="N51" s="1427"/>
      <c r="O51" s="1427"/>
      <c r="P51" s="1427"/>
      <c r="Q51" s="1427"/>
      <c r="R51" s="1427"/>
      <c r="S51" s="1427"/>
      <c r="T51" s="1427"/>
      <c r="U51" s="1427"/>
      <c r="V51" s="1427"/>
      <c r="W51" s="1427"/>
      <c r="X51" s="1427"/>
      <c r="Y51" s="1427"/>
      <c r="Z51" s="1427"/>
      <c r="AA51" s="1427"/>
      <c r="AB51" s="823"/>
      <c r="AC51" s="824"/>
    </row>
    <row r="52" spans="1:33" s="514" customFormat="1" ht="21" customHeight="1">
      <c r="A52" s="140"/>
      <c r="B52" s="68"/>
      <c r="C52" s="68"/>
      <c r="D52" s="827"/>
      <c r="E52" s="828"/>
      <c r="F52" s="82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row>
    <row r="53" spans="1:33" s="514" customFormat="1" ht="11" customHeight="1">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row>
    <row r="54" spans="1:33" s="514" customFormat="1" ht="20">
      <c r="A54" s="140"/>
      <c r="B54" s="68"/>
      <c r="C54" s="68"/>
      <c r="D54" s="430" t="s">
        <v>74</v>
      </c>
      <c r="E54" s="68"/>
      <c r="F54" s="68"/>
      <c r="G54" s="68"/>
      <c r="H54" s="68"/>
      <c r="I54" s="68"/>
      <c r="J54" s="68"/>
      <c r="K54" s="68"/>
      <c r="L54" s="68"/>
      <c r="M54" s="68"/>
      <c r="N54" s="68"/>
      <c r="O54" s="68"/>
      <c r="P54" s="68"/>
      <c r="Q54" s="68"/>
      <c r="R54" s="68"/>
      <c r="S54" s="68"/>
      <c r="T54" s="68"/>
      <c r="U54" s="68"/>
      <c r="V54" s="68"/>
      <c r="W54" s="68"/>
      <c r="X54" s="68"/>
      <c r="Y54" s="68"/>
      <c r="Z54" s="68"/>
      <c r="AA54" s="68"/>
      <c r="AB54" s="68"/>
    </row>
    <row r="55" spans="1:33" s="514" customFormat="1">
      <c r="A55" s="140"/>
      <c r="B55" s="68"/>
      <c r="C55" s="68"/>
      <c r="D55" s="1418" t="s">
        <v>216</v>
      </c>
      <c r="E55" s="1419"/>
      <c r="F55" s="1419"/>
      <c r="G55" s="68"/>
      <c r="H55" s="68"/>
      <c r="I55" s="68"/>
      <c r="J55" s="68"/>
      <c r="N55" s="68"/>
      <c r="O55" s="68"/>
      <c r="P55" s="68"/>
      <c r="Q55" s="68"/>
      <c r="R55" s="68"/>
      <c r="S55" s="68"/>
      <c r="T55" s="68"/>
      <c r="U55" s="68"/>
      <c r="V55" s="68"/>
      <c r="W55" s="68"/>
      <c r="X55" s="68"/>
      <c r="Y55" s="68"/>
      <c r="Z55" s="68"/>
      <c r="AA55" s="68"/>
      <c r="AB55" s="68"/>
    </row>
    <row r="56" spans="1:33" s="514" customFormat="1">
      <c r="A56" s="140"/>
      <c r="B56" s="68"/>
      <c r="C56" s="68"/>
      <c r="D56" s="6" t="s">
        <v>188</v>
      </c>
      <c r="E56" s="14"/>
      <c r="F56" s="14"/>
      <c r="G56" s="68"/>
      <c r="H56" s="68"/>
      <c r="I56" s="68"/>
      <c r="J56" s="68"/>
      <c r="N56" s="68"/>
      <c r="O56" s="68"/>
      <c r="P56" s="68"/>
      <c r="Q56" s="68"/>
      <c r="R56" s="68"/>
      <c r="S56" s="68"/>
      <c r="T56" s="68"/>
      <c r="U56" s="68"/>
      <c r="V56" s="68"/>
      <c r="W56" s="68"/>
      <c r="X56" s="68"/>
      <c r="Y56" s="68"/>
      <c r="Z56" s="68"/>
      <c r="AA56" s="68"/>
      <c r="AB56" s="68"/>
    </row>
    <row r="57" spans="1:33" s="514" customFormat="1">
      <c r="A57" s="140"/>
      <c r="B57" s="68"/>
      <c r="C57" s="68"/>
      <c r="E57" s="68"/>
      <c r="F57" s="68"/>
      <c r="G57" s="68"/>
      <c r="H57" s="68"/>
      <c r="I57" s="68"/>
      <c r="J57" s="68"/>
      <c r="K57" s="68"/>
      <c r="L57" s="68"/>
      <c r="M57" s="68"/>
      <c r="N57" s="68"/>
      <c r="O57" s="68"/>
      <c r="P57" s="68"/>
      <c r="Q57" s="68"/>
      <c r="R57" s="68"/>
      <c r="U57" s="68"/>
      <c r="V57" s="68"/>
      <c r="W57" s="68"/>
      <c r="X57" s="68"/>
      <c r="Y57" s="68"/>
      <c r="Z57" s="68"/>
      <c r="AA57" s="68"/>
      <c r="AB57" s="68"/>
    </row>
    <row r="58" spans="1:33" s="514" customFormat="1">
      <c r="A58" s="140"/>
      <c r="B58" s="68"/>
      <c r="C58" s="68"/>
      <c r="D58" s="519"/>
      <c r="E58" s="68"/>
      <c r="F58" s="68"/>
      <c r="G58" s="68"/>
      <c r="H58" s="68"/>
      <c r="I58" s="68"/>
      <c r="J58" s="68"/>
      <c r="L58" s="68"/>
      <c r="M58" s="68"/>
      <c r="N58" s="68"/>
      <c r="O58" s="68"/>
      <c r="P58" s="68"/>
      <c r="Q58" s="68"/>
      <c r="R58" s="68"/>
      <c r="U58" s="68"/>
      <c r="V58" s="68"/>
      <c r="W58" s="68"/>
      <c r="X58" s="68"/>
      <c r="Y58" s="68"/>
      <c r="Z58" s="68"/>
      <c r="AA58" s="68"/>
      <c r="AB58" s="68"/>
    </row>
    <row r="59" spans="1:33" s="514" customFormat="1">
      <c r="A59" s="140"/>
      <c r="B59" s="68"/>
      <c r="C59" s="68"/>
      <c r="D59" s="48" t="s">
        <v>69</v>
      </c>
      <c r="E59" s="693"/>
      <c r="F59" s="693"/>
      <c r="G59" s="695"/>
      <c r="H59" s="696"/>
      <c r="I59" s="696"/>
      <c r="J59" s="693"/>
      <c r="L59" s="693"/>
      <c r="M59" s="48" t="s">
        <v>70</v>
      </c>
      <c r="N59" s="697"/>
      <c r="O59" s="693"/>
      <c r="P59" s="694"/>
      <c r="Q59" s="693"/>
      <c r="R59" s="693"/>
      <c r="V59" s="48" t="s">
        <v>221</v>
      </c>
      <c r="W59" s="694"/>
      <c r="X59" s="693"/>
      <c r="Y59" s="693"/>
      <c r="AA59" s="68"/>
      <c r="AB59" s="68"/>
    </row>
    <row r="60" spans="1:33" s="514" customFormat="1">
      <c r="A60" s="140"/>
      <c r="B60" s="68"/>
      <c r="C60" s="68"/>
      <c r="D60" s="692"/>
      <c r="E60" s="692"/>
      <c r="F60" s="692"/>
      <c r="G60" s="692"/>
      <c r="H60" s="692"/>
      <c r="I60" s="692"/>
      <c r="J60" s="692"/>
      <c r="L60" s="692"/>
      <c r="M60" s="693"/>
      <c r="N60" s="693"/>
      <c r="O60" s="693"/>
      <c r="P60" s="694"/>
      <c r="Q60" s="693"/>
      <c r="R60" s="693"/>
      <c r="V60" s="693"/>
      <c r="W60" s="693"/>
      <c r="X60" s="693"/>
      <c r="Y60" s="693"/>
      <c r="AA60" s="68"/>
      <c r="AB60" s="68"/>
    </row>
    <row r="61" spans="1:33" s="514" customFormat="1">
      <c r="A61" s="140"/>
      <c r="B61" s="68"/>
      <c r="C61" s="68"/>
      <c r="D61" s="698" t="s">
        <v>13</v>
      </c>
      <c r="E61" s="698" t="s">
        <v>14</v>
      </c>
      <c r="F61" s="698"/>
      <c r="G61" s="698"/>
      <c r="H61" s="48"/>
      <c r="I61" s="692"/>
      <c r="J61" s="692"/>
      <c r="L61" s="692"/>
      <c r="M61" s="699" t="s">
        <v>13</v>
      </c>
      <c r="N61" s="699" t="s">
        <v>14</v>
      </c>
      <c r="O61" s="700"/>
      <c r="P61" s="694"/>
      <c r="Q61" s="48"/>
      <c r="R61" s="48"/>
      <c r="V61" s="699" t="s">
        <v>13</v>
      </c>
      <c r="W61" s="699" t="s">
        <v>14</v>
      </c>
      <c r="X61" s="700"/>
      <c r="Y61" s="694"/>
      <c r="AA61" s="68"/>
      <c r="AB61" s="68"/>
    </row>
    <row r="62" spans="1:33" s="514" customFormat="1">
      <c r="A62" s="140"/>
      <c r="B62" s="68"/>
      <c r="C62" s="68"/>
      <c r="D62" s="698" t="s">
        <v>17</v>
      </c>
      <c r="E62" s="698" t="s">
        <v>27</v>
      </c>
      <c r="F62" s="698" t="s">
        <v>47</v>
      </c>
      <c r="G62" s="698" t="s">
        <v>235</v>
      </c>
      <c r="H62" s="48"/>
      <c r="I62" s="692"/>
      <c r="J62" s="692"/>
      <c r="L62" s="692"/>
      <c r="M62" s="699" t="s">
        <v>17</v>
      </c>
      <c r="N62" s="701" t="s">
        <v>27</v>
      </c>
      <c r="O62" s="702" t="s">
        <v>47</v>
      </c>
      <c r="P62" s="694"/>
      <c r="Q62" s="48"/>
      <c r="R62" s="48"/>
      <c r="V62" s="699" t="s">
        <v>17</v>
      </c>
      <c r="W62" s="701" t="s">
        <v>27</v>
      </c>
      <c r="X62" s="702" t="s">
        <v>47</v>
      </c>
      <c r="Y62" s="694"/>
      <c r="AA62" s="68"/>
      <c r="AB62" s="68"/>
    </row>
    <row r="63" spans="1:33" s="514" customFormat="1">
      <c r="A63" s="140"/>
      <c r="B63" s="68"/>
      <c r="C63" s="68"/>
      <c r="D63" s="698" t="s">
        <v>18</v>
      </c>
      <c r="E63" s="703">
        <v>41</v>
      </c>
      <c r="F63" s="703">
        <v>27</v>
      </c>
      <c r="G63" s="703">
        <v>68</v>
      </c>
      <c r="H63" s="48"/>
      <c r="I63" s="692"/>
      <c r="J63" s="692"/>
      <c r="L63" s="692"/>
      <c r="M63" s="701" t="s">
        <v>18</v>
      </c>
      <c r="N63" s="704">
        <v>0.6029411764705882</v>
      </c>
      <c r="O63" s="705">
        <v>0.39705882352941174</v>
      </c>
      <c r="P63" s="694"/>
      <c r="Q63" s="48"/>
      <c r="R63" s="48"/>
      <c r="V63" s="701" t="s">
        <v>18</v>
      </c>
      <c r="W63" s="706">
        <v>0.6029411764705882</v>
      </c>
      <c r="X63" s="707">
        <v>0.39705882352941174</v>
      </c>
      <c r="Y63" s="694"/>
      <c r="AA63" s="68"/>
      <c r="AB63" s="68"/>
    </row>
    <row r="64" spans="1:33" s="514" customFormat="1">
      <c r="A64" s="140"/>
      <c r="B64" s="68"/>
      <c r="C64" s="68"/>
      <c r="D64" s="698" t="s">
        <v>28</v>
      </c>
      <c r="E64" s="703">
        <v>83</v>
      </c>
      <c r="F64" s="703">
        <v>49</v>
      </c>
      <c r="G64" s="703">
        <v>132</v>
      </c>
      <c r="H64" s="48"/>
      <c r="I64" s="692"/>
      <c r="J64" s="692"/>
      <c r="L64" s="692"/>
      <c r="M64" s="708" t="s">
        <v>28</v>
      </c>
      <c r="N64" s="709">
        <v>0.62878787878787878</v>
      </c>
      <c r="O64" s="710">
        <v>0.37121212121212122</v>
      </c>
      <c r="P64" s="694"/>
      <c r="Q64" s="48"/>
      <c r="R64" s="48"/>
      <c r="V64" s="708" t="s">
        <v>28</v>
      </c>
      <c r="W64" s="711">
        <v>0.62878787878787878</v>
      </c>
      <c r="X64" s="712">
        <v>0.37121212121212122</v>
      </c>
      <c r="Y64" s="694"/>
      <c r="AA64" s="68"/>
      <c r="AB64" s="68"/>
    </row>
    <row r="65" spans="1:28" s="514" customFormat="1">
      <c r="A65" s="140"/>
      <c r="B65" s="68"/>
      <c r="C65" s="68"/>
      <c r="D65" s="698" t="s">
        <v>29</v>
      </c>
      <c r="E65" s="703">
        <v>70</v>
      </c>
      <c r="F65" s="703">
        <v>38</v>
      </c>
      <c r="G65" s="703">
        <v>108</v>
      </c>
      <c r="H65" s="48"/>
      <c r="I65" s="692"/>
      <c r="J65" s="692"/>
      <c r="L65" s="692"/>
      <c r="M65" s="708" t="s">
        <v>29</v>
      </c>
      <c r="N65" s="709">
        <v>0.64814814814814814</v>
      </c>
      <c r="O65" s="710">
        <v>0.35185185185185186</v>
      </c>
      <c r="P65" s="694"/>
      <c r="Q65" s="48"/>
      <c r="R65" s="48"/>
      <c r="V65" s="708" t="s">
        <v>29</v>
      </c>
      <c r="W65" s="711">
        <v>0.64814814814814814</v>
      </c>
      <c r="X65" s="712">
        <v>0.35185185185185186</v>
      </c>
      <c r="Y65" s="694"/>
      <c r="AA65" s="68"/>
      <c r="AB65" s="68"/>
    </row>
    <row r="66" spans="1:28" s="514" customFormat="1">
      <c r="A66" s="140"/>
      <c r="B66" s="68"/>
      <c r="C66" s="68"/>
      <c r="D66" s="698" t="s">
        <v>52</v>
      </c>
      <c r="E66" s="703">
        <v>2</v>
      </c>
      <c r="F66" s="703">
        <v>4</v>
      </c>
      <c r="G66" s="703">
        <v>6</v>
      </c>
      <c r="H66" s="48"/>
      <c r="I66" s="692"/>
      <c r="J66" s="692"/>
      <c r="L66" s="692"/>
      <c r="M66" s="708" t="s">
        <v>52</v>
      </c>
      <c r="N66" s="709">
        <v>0.33333333333333331</v>
      </c>
      <c r="O66" s="710">
        <v>0.66666666666666663</v>
      </c>
      <c r="P66" s="694"/>
      <c r="Q66" s="48"/>
      <c r="R66" s="48"/>
      <c r="V66" s="708" t="s">
        <v>52</v>
      </c>
      <c r="W66" s="711">
        <v>0.33333333333333331</v>
      </c>
      <c r="X66" s="712">
        <v>0.66666666666666663</v>
      </c>
      <c r="Y66" s="694"/>
      <c r="Z66" s="68"/>
      <c r="AA66" s="68"/>
      <c r="AB66" s="68"/>
    </row>
    <row r="67" spans="1:28" s="514" customFormat="1">
      <c r="A67" s="140"/>
      <c r="B67" s="68"/>
      <c r="C67" s="68"/>
      <c r="D67" s="698" t="s">
        <v>284</v>
      </c>
      <c r="E67" s="703">
        <v>4</v>
      </c>
      <c r="F67" s="703">
        <v>2</v>
      </c>
      <c r="G67" s="703">
        <v>6</v>
      </c>
      <c r="H67" s="48"/>
      <c r="I67" s="692"/>
      <c r="J67" s="692"/>
      <c r="L67" s="692"/>
      <c r="M67" s="708" t="s">
        <v>284</v>
      </c>
      <c r="N67" s="709">
        <v>0.66666666666666663</v>
      </c>
      <c r="O67" s="710">
        <v>0.33333333333333331</v>
      </c>
      <c r="P67" s="694"/>
      <c r="Q67" s="48"/>
      <c r="R67" s="48"/>
      <c r="V67" s="708" t="s">
        <v>284</v>
      </c>
      <c r="W67" s="711">
        <v>0.66666666666666663</v>
      </c>
      <c r="X67" s="712">
        <v>0.33333333333333331</v>
      </c>
      <c r="Y67" s="694"/>
      <c r="Z67" s="68"/>
      <c r="AA67" s="68"/>
      <c r="AB67" s="68"/>
    </row>
    <row r="68" spans="1:28" s="514" customFormat="1">
      <c r="A68" s="140"/>
      <c r="B68" s="68"/>
      <c r="C68" s="68"/>
      <c r="D68" s="698" t="s">
        <v>235</v>
      </c>
      <c r="E68" s="703">
        <v>200</v>
      </c>
      <c r="F68" s="703">
        <v>120</v>
      </c>
      <c r="G68" s="703">
        <v>320</v>
      </c>
      <c r="H68" s="48"/>
      <c r="I68" s="692"/>
      <c r="J68" s="692"/>
      <c r="L68" s="692"/>
      <c r="M68" s="713" t="s">
        <v>235</v>
      </c>
      <c r="N68" s="714">
        <v>0.625</v>
      </c>
      <c r="O68" s="715">
        <v>0.375</v>
      </c>
      <c r="P68" s="694"/>
      <c r="Q68" s="48"/>
      <c r="R68" s="48"/>
      <c r="V68" s="713" t="s">
        <v>235</v>
      </c>
      <c r="W68" s="716">
        <v>0.625</v>
      </c>
      <c r="X68" s="717">
        <v>0.375</v>
      </c>
      <c r="Y68" s="694"/>
      <c r="Z68" s="68"/>
      <c r="AA68" s="68"/>
      <c r="AB68" s="68"/>
    </row>
    <row r="69" spans="1:28" s="514" customFormat="1" ht="14" customHeight="1">
      <c r="A69" s="140"/>
      <c r="B69" s="68"/>
      <c r="C69" s="68"/>
      <c r="AB69" s="694"/>
    </row>
    <row r="70" spans="1:28" s="514" customFormat="1">
      <c r="A70" s="140"/>
      <c r="B70" s="68"/>
      <c r="C70" s="68"/>
      <c r="Y70" s="694"/>
      <c r="Z70" s="694"/>
      <c r="AA70" s="68"/>
      <c r="AB70" s="68"/>
    </row>
    <row r="71" spans="1:28" s="514" customFormat="1">
      <c r="A71" s="140"/>
      <c r="B71" s="68"/>
      <c r="C71" s="68"/>
      <c r="Y71" s="694"/>
      <c r="Z71" s="694"/>
      <c r="AA71" s="68"/>
      <c r="AB71" s="68"/>
    </row>
    <row r="72" spans="1:28" s="514" customFormat="1">
      <c r="A72" s="140"/>
      <c r="B72" s="68"/>
      <c r="C72" s="68"/>
      <c r="Y72" s="694"/>
      <c r="Z72" s="694"/>
      <c r="AA72" s="68"/>
      <c r="AB72" s="68"/>
    </row>
    <row r="73" spans="1:28" s="514" customFormat="1">
      <c r="A73" s="140"/>
      <c r="B73" s="68"/>
      <c r="C73" s="68"/>
      <c r="Y73" s="694"/>
      <c r="Z73" s="694"/>
      <c r="AA73" s="68"/>
      <c r="AB73" s="68"/>
    </row>
    <row r="74" spans="1:28" s="514" customFormat="1">
      <c r="A74" s="140"/>
      <c r="B74" s="68"/>
      <c r="C74" s="68"/>
      <c r="Y74" s="694"/>
      <c r="Z74" s="694"/>
      <c r="AA74" s="68"/>
      <c r="AB74" s="68"/>
    </row>
    <row r="75" spans="1:28" s="514" customFormat="1">
      <c r="A75" s="140"/>
      <c r="B75" s="143"/>
      <c r="C75" s="68"/>
      <c r="Y75" s="694"/>
      <c r="Z75" s="694"/>
      <c r="AA75" s="68"/>
      <c r="AB75" s="68"/>
    </row>
    <row r="76" spans="1:28">
      <c r="Y76" s="694"/>
      <c r="Z76" s="694"/>
    </row>
    <row r="77" spans="1:28">
      <c r="Y77" s="694"/>
      <c r="Z77" s="694"/>
    </row>
    <row r="78" spans="1:28">
      <c r="Y78" s="694"/>
      <c r="Z78" s="694"/>
    </row>
    <row r="79" spans="1:28">
      <c r="D79" s="48"/>
      <c r="E79" s="48"/>
      <c r="F79" s="48"/>
      <c r="G79" s="48"/>
      <c r="H79" s="48"/>
      <c r="I79" s="692"/>
      <c r="J79" s="692"/>
      <c r="K79" s="692"/>
      <c r="L79" s="692"/>
      <c r="M79" s="693"/>
      <c r="N79" s="48"/>
      <c r="O79" s="48"/>
      <c r="P79" s="48"/>
      <c r="Q79" s="48"/>
      <c r="R79" s="48"/>
      <c r="S79" s="693"/>
      <c r="T79" s="693"/>
      <c r="U79" s="694"/>
      <c r="V79" s="694"/>
      <c r="Y79" s="694"/>
      <c r="Z79" s="48"/>
    </row>
    <row r="80" spans="1:28">
      <c r="D80" s="14"/>
      <c r="E80" s="14"/>
      <c r="F80" s="8"/>
      <c r="G80" s="8"/>
      <c r="H80" s="8"/>
      <c r="I80" s="8"/>
      <c r="J80" s="8"/>
      <c r="K80" s="8"/>
      <c r="L80" s="8"/>
      <c r="M80" s="8"/>
      <c r="N80" s="8"/>
      <c r="O80" s="8"/>
      <c r="P80" s="8"/>
      <c r="Q80" s="8"/>
      <c r="R80" s="8"/>
      <c r="S80" s="8"/>
      <c r="T80" s="8"/>
      <c r="U80" s="8"/>
      <c r="V80" s="8"/>
      <c r="W80" s="8"/>
      <c r="X80" s="8"/>
      <c r="Y80" s="8"/>
      <c r="Z80" s="8"/>
    </row>
    <row r="81" spans="2:33">
      <c r="D81" s="14"/>
      <c r="E81" s="14"/>
      <c r="F81"/>
      <c r="G81"/>
      <c r="H81"/>
      <c r="I81"/>
      <c r="J81"/>
      <c r="K81" s="14"/>
      <c r="L81" s="14"/>
      <c r="M81" s="14"/>
      <c r="N81" s="14"/>
      <c r="O81" s="14"/>
      <c r="P81"/>
      <c r="Q81"/>
      <c r="R81"/>
      <c r="S81"/>
      <c r="T81"/>
      <c r="U81" s="14"/>
      <c r="V81" s="14"/>
      <c r="W81" s="8"/>
      <c r="X81" s="8"/>
      <c r="Y81" s="8"/>
      <c r="Z81"/>
    </row>
    <row r="82" spans="2:33">
      <c r="D82" s="14"/>
      <c r="E82" s="14"/>
      <c r="F82" s="20"/>
      <c r="G82" s="21"/>
      <c r="H82" s="21"/>
      <c r="I82" s="14"/>
      <c r="J82" s="14"/>
      <c r="K82" s="14"/>
      <c r="L82" s="14"/>
      <c r="M82" s="14"/>
      <c r="N82" s="14"/>
      <c r="O82" s="14"/>
      <c r="P82" s="17"/>
      <c r="Q82" s="18"/>
      <c r="R82" s="18"/>
      <c r="S82" s="19"/>
      <c r="T82" s="14"/>
      <c r="U82" s="14"/>
      <c r="V82" s="14"/>
      <c r="W82" s="8"/>
      <c r="X82" s="8"/>
      <c r="Y82" s="8"/>
      <c r="Z82"/>
    </row>
    <row r="88" spans="2:33" ht="17" customHeight="1"/>
    <row r="89" spans="2:33" ht="67" customHeight="1">
      <c r="D89" s="1407" t="s">
        <v>472</v>
      </c>
      <c r="E89" s="1408"/>
      <c r="F89" s="1409"/>
      <c r="G89" s="1413" t="s">
        <v>477</v>
      </c>
      <c r="H89" s="1414"/>
      <c r="I89" s="1414"/>
      <c r="J89" s="1414"/>
      <c r="K89" s="1414"/>
      <c r="L89" s="1414"/>
      <c r="M89" s="1414"/>
      <c r="N89" s="1414"/>
      <c r="O89" s="1414"/>
      <c r="P89" s="1414"/>
      <c r="Q89" s="1414"/>
      <c r="R89" s="1414"/>
      <c r="S89" s="1414"/>
      <c r="T89" s="1414"/>
      <c r="U89" s="1414"/>
      <c r="V89" s="1414"/>
      <c r="W89" s="1414"/>
      <c r="X89" s="1414"/>
      <c r="Y89" s="1414"/>
      <c r="Z89" s="1414"/>
      <c r="AA89" s="1414"/>
      <c r="AB89" s="1414"/>
      <c r="AC89" s="1415"/>
    </row>
    <row r="90" spans="2:33" ht="67" customHeight="1">
      <c r="D90" s="1407" t="s">
        <v>473</v>
      </c>
      <c r="E90" s="1408"/>
      <c r="F90" s="1409"/>
      <c r="G90" s="1413" t="s">
        <v>478</v>
      </c>
      <c r="H90" s="1416"/>
      <c r="I90" s="1416"/>
      <c r="J90" s="1416"/>
      <c r="K90" s="1416"/>
      <c r="L90" s="1416"/>
      <c r="M90" s="1416"/>
      <c r="N90" s="1416"/>
      <c r="O90" s="1416"/>
      <c r="P90" s="1416"/>
      <c r="Q90" s="1416"/>
      <c r="R90" s="1416"/>
      <c r="S90" s="1416"/>
      <c r="T90" s="1416"/>
      <c r="U90" s="1416"/>
      <c r="V90" s="1416"/>
      <c r="W90" s="1416"/>
      <c r="X90" s="1416"/>
      <c r="Y90" s="1416"/>
      <c r="Z90" s="1416"/>
      <c r="AA90" s="1416"/>
      <c r="AB90" s="1416"/>
      <c r="AC90" s="1417"/>
    </row>
    <row r="91" spans="2:33" ht="14" customHeight="1">
      <c r="D91" s="825"/>
      <c r="E91" s="826"/>
      <c r="F91" s="826"/>
      <c r="G91" s="989"/>
      <c r="H91" s="989"/>
      <c r="I91" s="989"/>
      <c r="J91" s="989"/>
      <c r="K91" s="989"/>
      <c r="L91" s="989"/>
      <c r="M91" s="989"/>
      <c r="N91" s="989"/>
      <c r="O91" s="989"/>
      <c r="P91" s="989"/>
      <c r="Q91" s="989"/>
      <c r="R91" s="989"/>
      <c r="S91" s="989"/>
      <c r="T91" s="989"/>
      <c r="U91" s="989"/>
      <c r="V91" s="989"/>
      <c r="W91" s="989"/>
      <c r="X91" s="989"/>
      <c r="Y91" s="989"/>
      <c r="Z91" s="989"/>
      <c r="AA91" s="989"/>
      <c r="AB91" s="989"/>
      <c r="AC91" s="989"/>
    </row>
    <row r="92" spans="2:33" ht="11" customHeight="1">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row>
    <row r="93" spans="2:33" ht="20">
      <c r="D93" s="430" t="s">
        <v>75</v>
      </c>
      <c r="E93" s="14"/>
      <c r="F93" s="14"/>
      <c r="G93" s="14"/>
      <c r="H93" s="14"/>
      <c r="I93" s="14"/>
      <c r="J93" s="14"/>
      <c r="K93" s="14"/>
      <c r="L93" s="14"/>
      <c r="M93" s="14"/>
      <c r="N93" s="14"/>
      <c r="O93" s="14"/>
      <c r="P93" s="14"/>
      <c r="Q93" s="14"/>
      <c r="R93" s="14"/>
      <c r="S93" s="14"/>
      <c r="T93" s="14"/>
      <c r="U93" s="14"/>
      <c r="V93" s="14"/>
      <c r="W93" s="14"/>
      <c r="X93" s="14"/>
      <c r="Y93" s="75"/>
      <c r="Z93" s="14"/>
      <c r="AA93" s="14"/>
      <c r="AB93" s="14"/>
      <c r="AC93" s="8"/>
      <c r="AD93" s="8"/>
    </row>
    <row r="94" spans="2:33">
      <c r="D94" s="6"/>
      <c r="E94" s="14"/>
      <c r="F94" s="14"/>
      <c r="G94" s="14"/>
      <c r="H94" s="14"/>
      <c r="I94" s="14"/>
      <c r="J94" s="14"/>
      <c r="K94" s="14"/>
      <c r="L94" s="14"/>
      <c r="M94" s="14"/>
      <c r="N94" s="14"/>
      <c r="O94" s="14"/>
      <c r="P94" s="14"/>
      <c r="Q94" s="14"/>
      <c r="R94" s="14"/>
      <c r="S94" s="14"/>
      <c r="T94" s="14"/>
      <c r="U94" s="14"/>
      <c r="V94" s="14"/>
      <c r="W94" s="14"/>
      <c r="X94" s="14"/>
      <c r="Y94" s="14"/>
      <c r="Z94" s="14"/>
      <c r="AA94" s="14"/>
      <c r="AB94" s="14"/>
      <c r="AC94" s="8"/>
      <c r="AD94" s="8"/>
    </row>
    <row r="95" spans="2:33" ht="20">
      <c r="D95" s="1418" t="s">
        <v>216</v>
      </c>
      <c r="E95" s="1419"/>
      <c r="F95" s="1419"/>
      <c r="G95" s="14"/>
      <c r="H95" s="14"/>
      <c r="I95" s="14"/>
      <c r="J95" s="14"/>
      <c r="K95" s="14"/>
      <c r="L95" s="14"/>
      <c r="M95" s="14"/>
      <c r="N95" s="14"/>
      <c r="O95" s="14"/>
      <c r="P95" s="14"/>
      <c r="Q95" s="14"/>
      <c r="R95" s="14"/>
      <c r="S95" s="14"/>
      <c r="T95" s="14"/>
      <c r="U95" s="14"/>
      <c r="V95" s="14"/>
      <c r="W95" s="14"/>
      <c r="X95" s="14"/>
      <c r="Y95" s="442" t="s">
        <v>239</v>
      </c>
      <c r="Z95" s="14"/>
      <c r="AA95" s="14"/>
      <c r="AB95" s="14"/>
      <c r="AC95" s="8"/>
      <c r="AD95" s="8"/>
    </row>
    <row r="96" spans="2:33">
      <c r="D96" s="6" t="s">
        <v>188</v>
      </c>
      <c r="E96" s="14"/>
      <c r="F96" s="14"/>
      <c r="G96" s="14"/>
      <c r="H96" s="14"/>
      <c r="I96" s="14"/>
      <c r="J96" s="14"/>
      <c r="K96" s="14"/>
      <c r="L96" s="14"/>
      <c r="M96" s="14"/>
      <c r="N96" s="14"/>
      <c r="O96" s="14"/>
      <c r="P96" s="14"/>
      <c r="Q96" s="14"/>
      <c r="R96" s="14"/>
      <c r="S96" s="14"/>
      <c r="T96" s="14"/>
      <c r="U96" s="14"/>
      <c r="V96" s="14"/>
      <c r="W96" s="14"/>
      <c r="X96" s="14"/>
      <c r="Y96" s="14"/>
      <c r="Z96" s="14"/>
      <c r="AA96" s="14"/>
      <c r="AB96" s="14"/>
      <c r="AC96" s="8"/>
      <c r="AD96" s="8"/>
    </row>
    <row r="97" spans="4:30">
      <c r="D97" s="1"/>
      <c r="E97"/>
      <c r="F97"/>
      <c r="G97"/>
      <c r="H97"/>
      <c r="I97" s="25"/>
      <c r="J97" s="25"/>
      <c r="K97" s="14"/>
      <c r="L97" s="14"/>
      <c r="M97" s="14"/>
      <c r="N97" s="1"/>
      <c r="O97"/>
      <c r="P97"/>
      <c r="Q97"/>
      <c r="R97"/>
      <c r="S97" s="14"/>
      <c r="T97" s="14"/>
      <c r="U97" s="14"/>
      <c r="V97" s="14"/>
      <c r="W97" s="14"/>
      <c r="X97" s="1"/>
      <c r="Y97"/>
      <c r="Z97"/>
      <c r="AA97"/>
      <c r="AB97"/>
      <c r="AC97" s="14"/>
      <c r="AD97"/>
    </row>
    <row r="98" spans="4:30">
      <c r="D98" s="48" t="s">
        <v>69</v>
      </c>
      <c r="E98" s="693"/>
      <c r="F98" s="693"/>
      <c r="G98" s="695"/>
      <c r="I98" s="696"/>
      <c r="J98" s="696"/>
      <c r="K98" s="693"/>
      <c r="L98" s="693"/>
      <c r="M98" s="48" t="s">
        <v>70</v>
      </c>
      <c r="N98" s="697"/>
      <c r="O98" s="693"/>
      <c r="P98" s="693"/>
      <c r="S98" s="693"/>
      <c r="T98" s="693"/>
      <c r="U98" s="693"/>
      <c r="V98" s="48" t="s">
        <v>222</v>
      </c>
      <c r="W98" s="693"/>
      <c r="X98" s="693"/>
      <c r="Y98" s="694"/>
      <c r="Z98" s="48"/>
      <c r="AA98" s="48"/>
      <c r="AB98" s="48"/>
      <c r="AC98" s="693"/>
      <c r="AD98" s="48"/>
    </row>
    <row r="99" spans="4:30">
      <c r="D99" s="48"/>
      <c r="E99" s="48"/>
      <c r="F99" s="48"/>
      <c r="G99" s="48"/>
      <c r="I99" s="718"/>
      <c r="J99" s="718"/>
      <c r="K99" s="693"/>
      <c r="L99" s="693"/>
      <c r="M99" s="48"/>
      <c r="N99" s="48"/>
      <c r="O99" s="48"/>
      <c r="P99" s="48"/>
      <c r="S99" s="693"/>
      <c r="T99" s="693"/>
      <c r="U99" s="693"/>
      <c r="V99" s="693"/>
      <c r="W99" s="693"/>
      <c r="X99" s="48"/>
      <c r="Y99" s="48"/>
      <c r="Z99" s="48"/>
      <c r="AA99" s="48"/>
      <c r="AB99" s="48"/>
      <c r="AC99" s="693"/>
      <c r="AD99" s="48"/>
    </row>
    <row r="100" spans="4:30">
      <c r="D100" s="699" t="s">
        <v>45</v>
      </c>
      <c r="E100" s="701"/>
      <c r="F100" s="719"/>
      <c r="G100" s="700"/>
      <c r="I100" s="718"/>
      <c r="J100" s="718"/>
      <c r="K100" s="693"/>
      <c r="L100" s="693"/>
      <c r="M100" s="699" t="s">
        <v>949</v>
      </c>
      <c r="N100" s="701"/>
      <c r="O100" s="700"/>
      <c r="P100" s="48"/>
      <c r="S100" s="693"/>
      <c r="T100" s="693"/>
      <c r="U100" s="693"/>
      <c r="V100" s="699" t="s">
        <v>948</v>
      </c>
      <c r="W100" s="701"/>
      <c r="X100" s="700"/>
      <c r="Y100"/>
      <c r="Z100"/>
      <c r="AA100"/>
      <c r="AB100"/>
      <c r="AC100"/>
      <c r="AD100"/>
    </row>
    <row r="101" spans="4:30">
      <c r="D101" s="701"/>
      <c r="E101" s="701" t="s">
        <v>27</v>
      </c>
      <c r="F101" s="720" t="s">
        <v>47</v>
      </c>
      <c r="G101" s="721" t="s">
        <v>235</v>
      </c>
      <c r="I101" s="718"/>
      <c r="J101" s="718"/>
      <c r="K101" s="693"/>
      <c r="L101" s="693"/>
      <c r="M101" s="701"/>
      <c r="N101" s="701" t="s">
        <v>27</v>
      </c>
      <c r="O101" s="702" t="s">
        <v>47</v>
      </c>
      <c r="P101" s="48"/>
      <c r="S101" s="693"/>
      <c r="T101" s="693"/>
      <c r="U101" s="693"/>
      <c r="V101" s="701"/>
      <c r="W101" s="701" t="s">
        <v>27</v>
      </c>
      <c r="X101" s="702" t="s">
        <v>47</v>
      </c>
      <c r="Y101"/>
      <c r="Z101"/>
      <c r="AA101"/>
      <c r="AB101"/>
      <c r="AC101"/>
      <c r="AD101"/>
    </row>
    <row r="102" spans="4:30">
      <c r="D102" s="701" t="s">
        <v>305</v>
      </c>
      <c r="E102" s="722">
        <v>2</v>
      </c>
      <c r="F102" s="723">
        <v>3</v>
      </c>
      <c r="G102" s="724">
        <v>5</v>
      </c>
      <c r="I102" s="718"/>
      <c r="J102" s="718"/>
      <c r="K102" s="693"/>
      <c r="L102" s="693"/>
      <c r="M102" s="701" t="s">
        <v>305</v>
      </c>
      <c r="N102" s="706">
        <v>0.4</v>
      </c>
      <c r="O102" s="707">
        <v>0.6</v>
      </c>
      <c r="P102" s="48"/>
      <c r="S102" s="693"/>
      <c r="T102" s="693"/>
      <c r="U102" s="693"/>
      <c r="V102" s="701" t="s">
        <v>305</v>
      </c>
      <c r="W102" s="706">
        <v>0.4</v>
      </c>
      <c r="X102" s="707">
        <v>0.6</v>
      </c>
      <c r="Y102"/>
      <c r="Z102"/>
      <c r="AA102"/>
      <c r="AB102"/>
      <c r="AC102"/>
      <c r="AD102"/>
    </row>
    <row r="103" spans="4:30">
      <c r="D103" s="708" t="s">
        <v>301</v>
      </c>
      <c r="E103" s="726">
        <v>4</v>
      </c>
      <c r="F103" s="727">
        <v>1</v>
      </c>
      <c r="G103" s="728">
        <v>5</v>
      </c>
      <c r="I103" s="718"/>
      <c r="J103" s="718"/>
      <c r="K103" s="693"/>
      <c r="L103" s="693"/>
      <c r="M103" s="708" t="s">
        <v>301</v>
      </c>
      <c r="N103" s="711">
        <v>0.8</v>
      </c>
      <c r="O103" s="712">
        <v>0.2</v>
      </c>
      <c r="P103" s="48"/>
      <c r="S103" s="693"/>
      <c r="T103" s="693"/>
      <c r="U103" s="693"/>
      <c r="V103" s="708" t="s">
        <v>301</v>
      </c>
      <c r="W103" s="711">
        <v>0.8</v>
      </c>
      <c r="X103" s="712">
        <v>0.2</v>
      </c>
      <c r="Y103"/>
      <c r="Z103"/>
      <c r="AA103"/>
      <c r="AB103"/>
      <c r="AC103"/>
      <c r="AD103"/>
    </row>
    <row r="104" spans="4:30">
      <c r="D104" s="708" t="s">
        <v>303</v>
      </c>
      <c r="E104" s="726">
        <v>4</v>
      </c>
      <c r="F104" s="727">
        <v>1</v>
      </c>
      <c r="G104" s="728">
        <v>5</v>
      </c>
      <c r="I104" s="718"/>
      <c r="J104" s="718"/>
      <c r="K104" s="693"/>
      <c r="L104" s="693"/>
      <c r="M104" s="708" t="s">
        <v>303</v>
      </c>
      <c r="N104" s="711">
        <v>0.8</v>
      </c>
      <c r="O104" s="712">
        <v>0.2</v>
      </c>
      <c r="P104" s="48"/>
      <c r="S104" s="693"/>
      <c r="T104" s="693"/>
      <c r="U104" s="693"/>
      <c r="V104" s="708" t="s">
        <v>303</v>
      </c>
      <c r="W104" s="711">
        <v>0.8</v>
      </c>
      <c r="X104" s="712">
        <v>0.2</v>
      </c>
      <c r="Y104"/>
      <c r="Z104"/>
      <c r="AA104"/>
      <c r="AB104"/>
      <c r="AC104"/>
      <c r="AD104"/>
    </row>
    <row r="105" spans="4:30">
      <c r="D105" s="708" t="s">
        <v>35</v>
      </c>
      <c r="E105" s="726">
        <v>19</v>
      </c>
      <c r="F105" s="727">
        <v>7</v>
      </c>
      <c r="G105" s="728">
        <v>26</v>
      </c>
      <c r="I105" s="718"/>
      <c r="J105" s="718"/>
      <c r="K105" s="693"/>
      <c r="L105" s="693"/>
      <c r="M105" s="708" t="s">
        <v>35</v>
      </c>
      <c r="N105" s="711">
        <v>0.73076923076923073</v>
      </c>
      <c r="O105" s="712">
        <v>0.26923076923076922</v>
      </c>
      <c r="P105" s="48"/>
      <c r="S105" s="693"/>
      <c r="T105" s="693"/>
      <c r="U105" s="693"/>
      <c r="V105" s="708" t="s">
        <v>35</v>
      </c>
      <c r="W105" s="711">
        <v>0.73076923076923073</v>
      </c>
      <c r="X105" s="712">
        <v>0.26923076923076922</v>
      </c>
      <c r="Y105" s="48"/>
      <c r="Z105" s="48"/>
      <c r="AA105" s="48"/>
      <c r="AB105" s="48"/>
      <c r="AC105" s="693"/>
      <c r="AD105" s="48"/>
    </row>
    <row r="106" spans="4:30">
      <c r="D106" s="708" t="s">
        <v>36</v>
      </c>
      <c r="E106" s="726">
        <v>15</v>
      </c>
      <c r="F106" s="727">
        <v>10</v>
      </c>
      <c r="G106" s="728">
        <v>25</v>
      </c>
      <c r="I106" s="718"/>
      <c r="J106" s="718"/>
      <c r="K106" s="693"/>
      <c r="L106" s="693"/>
      <c r="M106" s="708" t="s">
        <v>36</v>
      </c>
      <c r="N106" s="711">
        <v>0.6</v>
      </c>
      <c r="O106" s="712">
        <v>0.4</v>
      </c>
      <c r="P106" s="48"/>
      <c r="S106" s="693"/>
      <c r="T106" s="693"/>
      <c r="U106" s="693"/>
      <c r="V106" s="708" t="s">
        <v>36</v>
      </c>
      <c r="W106" s="711">
        <v>0.6</v>
      </c>
      <c r="X106" s="712">
        <v>0.4</v>
      </c>
      <c r="Y106" s="48"/>
      <c r="Z106" s="48"/>
      <c r="AA106" s="48"/>
      <c r="AB106" s="48"/>
      <c r="AC106" s="693"/>
      <c r="AD106" s="48"/>
    </row>
    <row r="107" spans="4:30">
      <c r="D107" s="708" t="s">
        <v>11</v>
      </c>
      <c r="E107" s="726">
        <v>5</v>
      </c>
      <c r="F107" s="727">
        <v>1</v>
      </c>
      <c r="G107" s="728">
        <v>6</v>
      </c>
      <c r="I107" s="718"/>
      <c r="J107" s="718"/>
      <c r="K107" s="693"/>
      <c r="L107" s="693"/>
      <c r="M107" s="708" t="s">
        <v>11</v>
      </c>
      <c r="N107" s="711">
        <v>0.83333333333333337</v>
      </c>
      <c r="O107" s="712">
        <v>0.16666666666666666</v>
      </c>
      <c r="P107" s="48"/>
      <c r="S107" s="693"/>
      <c r="T107" s="693"/>
      <c r="U107" s="693"/>
      <c r="V107" s="708" t="s">
        <v>11</v>
      </c>
      <c r="W107" s="711">
        <v>0.83333333333333337</v>
      </c>
      <c r="X107" s="712">
        <v>0.16666666666666666</v>
      </c>
      <c r="Y107" s="48"/>
      <c r="Z107" s="48"/>
      <c r="AA107" s="48"/>
      <c r="AB107" s="48"/>
      <c r="AC107" s="693"/>
      <c r="AD107" s="48"/>
    </row>
    <row r="108" spans="4:30">
      <c r="D108" s="708" t="s">
        <v>37</v>
      </c>
      <c r="E108" s="726">
        <v>5</v>
      </c>
      <c r="F108" s="727">
        <v>6</v>
      </c>
      <c r="G108" s="728">
        <v>11</v>
      </c>
      <c r="I108" s="718"/>
      <c r="J108" s="718"/>
      <c r="K108" s="693"/>
      <c r="L108" s="693"/>
      <c r="M108" s="708" t="s">
        <v>37</v>
      </c>
      <c r="N108" s="711">
        <v>0.45454545454545453</v>
      </c>
      <c r="O108" s="712">
        <v>0.54545454545454541</v>
      </c>
      <c r="P108" s="48"/>
      <c r="S108" s="693"/>
      <c r="T108" s="693"/>
      <c r="U108" s="693"/>
      <c r="V108" s="708" t="s">
        <v>37</v>
      </c>
      <c r="W108" s="711">
        <v>0.45454545454545453</v>
      </c>
      <c r="X108" s="712">
        <v>0.54545454545454541</v>
      </c>
      <c r="Y108" s="48"/>
      <c r="Z108" s="48"/>
      <c r="AA108" s="48"/>
      <c r="AB108" s="48"/>
      <c r="AC108" s="693"/>
      <c r="AD108" s="48"/>
    </row>
    <row r="109" spans="4:30">
      <c r="D109" s="708" t="s">
        <v>304</v>
      </c>
      <c r="E109" s="726">
        <v>1</v>
      </c>
      <c r="F109" s="727">
        <v>4</v>
      </c>
      <c r="G109" s="728">
        <v>5</v>
      </c>
      <c r="I109" s="693"/>
      <c r="J109" s="693"/>
      <c r="K109" s="693"/>
      <c r="L109" s="693"/>
      <c r="M109" s="708" t="s">
        <v>304</v>
      </c>
      <c r="N109" s="711">
        <v>0.2</v>
      </c>
      <c r="O109" s="712">
        <v>0.8</v>
      </c>
      <c r="P109" s="48"/>
      <c r="S109" s="693"/>
      <c r="T109" s="693"/>
      <c r="U109" s="693"/>
      <c r="V109" s="708" t="s">
        <v>304</v>
      </c>
      <c r="W109" s="711">
        <v>0.2</v>
      </c>
      <c r="X109" s="712">
        <v>0.8</v>
      </c>
      <c r="Y109" s="48"/>
      <c r="Z109" s="48"/>
      <c r="AA109" s="48"/>
      <c r="AB109" s="48"/>
      <c r="AC109" s="693"/>
      <c r="AD109" s="694"/>
    </row>
    <row r="110" spans="4:30">
      <c r="D110" s="708" t="s">
        <v>306</v>
      </c>
      <c r="E110" s="726">
        <v>3</v>
      </c>
      <c r="F110" s="727">
        <v>2</v>
      </c>
      <c r="G110" s="728">
        <v>5</v>
      </c>
      <c r="I110" s="693"/>
      <c r="J110" s="693"/>
      <c r="K110" s="693"/>
      <c r="L110" s="693"/>
      <c r="M110" s="708" t="s">
        <v>306</v>
      </c>
      <c r="N110" s="711">
        <v>0.6</v>
      </c>
      <c r="O110" s="712">
        <v>0.4</v>
      </c>
      <c r="P110" s="48"/>
      <c r="S110" s="693"/>
      <c r="T110" s="693"/>
      <c r="U110" s="693"/>
      <c r="V110" s="708" t="s">
        <v>306</v>
      </c>
      <c r="W110" s="711">
        <v>0.6</v>
      </c>
      <c r="X110" s="712">
        <v>0.4</v>
      </c>
      <c r="Y110" s="48"/>
      <c r="Z110" s="48"/>
      <c r="AA110" s="48"/>
      <c r="AB110" s="48"/>
      <c r="AC110" s="693"/>
      <c r="AD110" s="694"/>
    </row>
    <row r="111" spans="4:30">
      <c r="D111" s="708" t="s">
        <v>43</v>
      </c>
      <c r="E111" s="726">
        <v>120</v>
      </c>
      <c r="F111" s="727">
        <v>73</v>
      </c>
      <c r="G111" s="728">
        <v>193</v>
      </c>
      <c r="I111" s="693"/>
      <c r="J111" s="693"/>
      <c r="K111" s="693"/>
      <c r="L111" s="693"/>
      <c r="M111" s="708" t="s">
        <v>43</v>
      </c>
      <c r="N111" s="711">
        <v>0.62176165803108807</v>
      </c>
      <c r="O111" s="712">
        <v>0.37823834196891193</v>
      </c>
      <c r="P111" s="48"/>
      <c r="S111" s="693"/>
      <c r="T111" s="693"/>
      <c r="U111" s="693"/>
      <c r="V111" s="708" t="s">
        <v>43</v>
      </c>
      <c r="W111" s="711">
        <v>0.62176165803108807</v>
      </c>
      <c r="X111" s="712">
        <v>0.37823834196891193</v>
      </c>
      <c r="Y111" s="48"/>
      <c r="Z111" s="48"/>
      <c r="AA111" s="48"/>
      <c r="AB111" s="693"/>
      <c r="AC111" s="693"/>
      <c r="AD111" s="694"/>
    </row>
    <row r="112" spans="4:30">
      <c r="D112" s="708" t="s">
        <v>44</v>
      </c>
      <c r="E112" s="726">
        <v>6</v>
      </c>
      <c r="F112" s="727"/>
      <c r="G112" s="728">
        <v>6</v>
      </c>
      <c r="I112" s="693"/>
      <c r="J112" s="693"/>
      <c r="K112" s="693"/>
      <c r="L112" s="693"/>
      <c r="M112" s="708" t="s">
        <v>44</v>
      </c>
      <c r="N112" s="711">
        <v>1</v>
      </c>
      <c r="O112" s="712">
        <v>0</v>
      </c>
      <c r="P112" s="48"/>
      <c r="S112" s="693"/>
      <c r="T112" s="693"/>
      <c r="U112" s="693"/>
      <c r="V112" s="708" t="s">
        <v>44</v>
      </c>
      <c r="W112" s="711">
        <v>1</v>
      </c>
      <c r="X112" s="712">
        <v>0</v>
      </c>
      <c r="Y112" s="48"/>
      <c r="Z112" s="48"/>
      <c r="AA112" s="48"/>
      <c r="AB112" s="693"/>
      <c r="AC112" s="693"/>
      <c r="AD112" s="694"/>
    </row>
    <row r="113" spans="4:30">
      <c r="D113" s="708" t="s">
        <v>302</v>
      </c>
      <c r="E113" s="726">
        <v>6</v>
      </c>
      <c r="F113" s="727">
        <v>6</v>
      </c>
      <c r="G113" s="728">
        <v>12</v>
      </c>
      <c r="I113" s="693"/>
      <c r="J113" s="693"/>
      <c r="K113" s="693"/>
      <c r="L113" s="693"/>
      <c r="M113" s="708" t="s">
        <v>302</v>
      </c>
      <c r="N113" s="711">
        <v>0.5</v>
      </c>
      <c r="O113" s="712">
        <v>0.5</v>
      </c>
      <c r="P113" s="48"/>
      <c r="S113" s="693"/>
      <c r="T113" s="693"/>
      <c r="U113" s="693"/>
      <c r="V113" s="708" t="s">
        <v>302</v>
      </c>
      <c r="W113" s="711">
        <v>0.5</v>
      </c>
      <c r="X113" s="712">
        <v>0.5</v>
      </c>
      <c r="Y113" s="48"/>
      <c r="Z113" s="48"/>
      <c r="AA113" s="48"/>
      <c r="AB113" s="693"/>
      <c r="AC113" s="693"/>
      <c r="AD113" s="694"/>
    </row>
    <row r="114" spans="4:30">
      <c r="D114" s="708" t="s">
        <v>56</v>
      </c>
      <c r="E114" s="726">
        <v>10</v>
      </c>
      <c r="F114" s="727">
        <v>6</v>
      </c>
      <c r="G114" s="728">
        <v>16</v>
      </c>
      <c r="I114" s="693"/>
      <c r="J114" s="693"/>
      <c r="K114" s="693"/>
      <c r="L114" s="693"/>
      <c r="M114" s="708" t="s">
        <v>56</v>
      </c>
      <c r="N114" s="711">
        <v>0.625</v>
      </c>
      <c r="O114" s="712">
        <v>0.375</v>
      </c>
      <c r="P114" s="48"/>
      <c r="S114" s="693"/>
      <c r="T114" s="693"/>
      <c r="U114" s="693"/>
      <c r="V114" s="708" t="s">
        <v>56</v>
      </c>
      <c r="W114" s="711">
        <v>0.625</v>
      </c>
      <c r="X114" s="712">
        <v>0.375</v>
      </c>
      <c r="Y114" s="48"/>
      <c r="Z114" s="48"/>
      <c r="AA114" s="48"/>
      <c r="AB114" s="693"/>
      <c r="AC114" s="693"/>
      <c r="AD114" s="694"/>
    </row>
    <row r="115" spans="4:30">
      <c r="D115" s="713" t="s">
        <v>235</v>
      </c>
      <c r="E115" s="731">
        <v>200</v>
      </c>
      <c r="F115" s="732">
        <v>120</v>
      </c>
      <c r="G115" s="733">
        <v>320</v>
      </c>
      <c r="I115" s="693"/>
      <c r="J115" s="693"/>
      <c r="K115" s="693"/>
      <c r="L115" s="693"/>
      <c r="M115" s="713" t="s">
        <v>235</v>
      </c>
      <c r="N115" s="716">
        <v>0.625</v>
      </c>
      <c r="O115" s="717">
        <v>0.375</v>
      </c>
      <c r="P115" s="48"/>
      <c r="S115" s="693"/>
      <c r="T115" s="693"/>
      <c r="U115" s="693"/>
      <c r="V115" s="713" t="s">
        <v>235</v>
      </c>
      <c r="W115" s="716">
        <v>0.625</v>
      </c>
      <c r="X115" s="717">
        <v>0.375</v>
      </c>
      <c r="Y115" s="48"/>
      <c r="Z115" s="48"/>
      <c r="AA115" s="48"/>
      <c r="AB115" s="693"/>
      <c r="AC115" s="693"/>
      <c r="AD115" s="694"/>
    </row>
    <row r="116" spans="4:30">
      <c r="D116" s="14"/>
      <c r="E116" s="20"/>
      <c r="F116" s="21"/>
      <c r="G116" s="21"/>
      <c r="H116" s="14"/>
      <c r="I116" s="14"/>
      <c r="J116" s="14"/>
      <c r="K116" s="14"/>
      <c r="L116" s="14"/>
      <c r="M116" s="14"/>
      <c r="N116" s="14"/>
      <c r="O116" s="14"/>
      <c r="P116" s="14"/>
      <c r="Q116" s="14"/>
      <c r="R116" s="14"/>
      <c r="S116" s="14"/>
      <c r="T116" s="14"/>
      <c r="U116" s="14"/>
      <c r="V116"/>
      <c r="W116"/>
      <c r="X116"/>
      <c r="Y116"/>
      <c r="Z116"/>
      <c r="AA116"/>
      <c r="AB116" s="14"/>
      <c r="AC116" s="14"/>
      <c r="AD116" s="8"/>
    </row>
    <row r="117" spans="4:30" ht="30" customHeight="1">
      <c r="D117" s="14"/>
      <c r="E117" s="20"/>
      <c r="F117" s="21"/>
      <c r="G117" s="21"/>
      <c r="H117" s="14"/>
      <c r="I117" s="14"/>
      <c r="J117" s="14"/>
      <c r="K117" s="14"/>
      <c r="L117" s="14"/>
      <c r="M117" s="14"/>
      <c r="N117" s="14"/>
      <c r="O117" s="14"/>
      <c r="P117" s="14"/>
      <c r="Q117" s="14"/>
      <c r="R117" s="14"/>
      <c r="S117" s="14"/>
      <c r="T117" s="14"/>
      <c r="U117" s="14"/>
      <c r="V117"/>
      <c r="W117"/>
      <c r="X117"/>
      <c r="Y117"/>
      <c r="Z117"/>
      <c r="AA117"/>
      <c r="AB117" s="14"/>
      <c r="AC117" s="14"/>
      <c r="AD117" s="8"/>
    </row>
    <row r="118" spans="4:30" ht="30" customHeight="1">
      <c r="D118" s="14"/>
      <c r="E118" s="20"/>
      <c r="F118" s="21"/>
      <c r="G118" s="21"/>
      <c r="H118" s="14"/>
      <c r="I118" s="14"/>
      <c r="J118" s="14"/>
      <c r="K118" s="14"/>
      <c r="L118" s="14"/>
      <c r="M118" s="14"/>
      <c r="N118" s="14"/>
      <c r="O118" s="14"/>
      <c r="P118" s="14"/>
      <c r="Q118" s="14"/>
      <c r="R118" s="14"/>
      <c r="S118" s="14"/>
      <c r="T118" s="14"/>
      <c r="U118" s="14"/>
      <c r="V118"/>
      <c r="W118"/>
      <c r="X118"/>
      <c r="Y118"/>
      <c r="Z118"/>
      <c r="AA118"/>
      <c r="AB118" s="14"/>
      <c r="AC118" s="14"/>
      <c r="AD118" s="8"/>
    </row>
    <row r="119" spans="4:30" ht="30" customHeight="1">
      <c r="D119" s="14"/>
      <c r="E119" s="20"/>
      <c r="F119" s="21"/>
      <c r="G119" s="21"/>
      <c r="H119" s="14"/>
      <c r="I119" s="14"/>
      <c r="J119" s="14"/>
      <c r="K119" s="14"/>
      <c r="L119" s="14"/>
      <c r="M119" s="14"/>
      <c r="N119" s="14"/>
      <c r="O119" s="14"/>
      <c r="P119" s="14"/>
      <c r="Q119" s="14"/>
      <c r="R119" s="14"/>
      <c r="S119" s="14"/>
      <c r="T119" s="14"/>
      <c r="U119" s="14"/>
      <c r="V119"/>
      <c r="W119"/>
      <c r="X119"/>
      <c r="Y119" s="14"/>
      <c r="Z119" s="14"/>
      <c r="AA119" s="14"/>
      <c r="AB119" s="14"/>
      <c r="AC119" s="14"/>
      <c r="AD119" s="8"/>
    </row>
    <row r="120" spans="4:30" ht="30" customHeight="1">
      <c r="D120" s="14"/>
      <c r="E120" s="20"/>
      <c r="F120" s="21"/>
      <c r="G120" s="21"/>
      <c r="H120" s="14"/>
      <c r="I120" s="14"/>
      <c r="J120" s="14"/>
      <c r="K120" s="14"/>
      <c r="L120" s="14"/>
      <c r="M120" s="14"/>
      <c r="N120" s="14"/>
      <c r="O120" s="14"/>
      <c r="P120" s="14"/>
      <c r="Q120" s="14"/>
      <c r="R120" s="14"/>
      <c r="S120" s="14"/>
      <c r="T120" s="14"/>
      <c r="U120" s="14"/>
      <c r="V120"/>
      <c r="W120"/>
      <c r="X120"/>
      <c r="Y120" s="14"/>
      <c r="Z120" s="14"/>
      <c r="AA120" s="14"/>
      <c r="AB120" s="14"/>
      <c r="AC120" s="14"/>
      <c r="AD120" s="8"/>
    </row>
    <row r="121" spans="4:30" ht="30" customHeight="1">
      <c r="D121" s="14"/>
      <c r="E121" s="20"/>
      <c r="F121" s="21"/>
      <c r="G121" s="21"/>
      <c r="H121" s="14"/>
      <c r="I121" s="14"/>
      <c r="J121" s="14"/>
      <c r="K121" s="14"/>
      <c r="L121" s="14"/>
      <c r="M121" s="14"/>
      <c r="N121" s="14"/>
      <c r="O121" s="14"/>
      <c r="P121" s="14"/>
      <c r="Q121" s="14"/>
      <c r="R121" s="14"/>
      <c r="S121" s="14"/>
      <c r="T121" s="14"/>
      <c r="U121" s="14"/>
      <c r="V121"/>
      <c r="W121"/>
      <c r="X121"/>
      <c r="Y121" s="14"/>
      <c r="Z121" s="14"/>
      <c r="AA121" s="14"/>
      <c r="AB121" s="14"/>
      <c r="AC121" s="14"/>
      <c r="AD121" s="8"/>
    </row>
    <row r="122" spans="4:30" ht="30" customHeight="1">
      <c r="D122" s="14"/>
      <c r="E122" s="22"/>
      <c r="F122" s="16"/>
      <c r="G122" s="14"/>
      <c r="H122" s="14"/>
      <c r="I122" s="14"/>
      <c r="J122" s="14"/>
      <c r="K122" s="14"/>
      <c r="L122" s="14"/>
      <c r="M122" s="14"/>
      <c r="N122" s="14"/>
      <c r="O122" s="14"/>
      <c r="P122" s="14"/>
      <c r="Q122" s="14"/>
      <c r="R122" s="14"/>
      <c r="S122" s="14"/>
      <c r="T122" s="14"/>
      <c r="U122" s="14"/>
      <c r="V122"/>
      <c r="W122"/>
      <c r="X122"/>
      <c r="Y122" s="14"/>
      <c r="Z122" s="14"/>
      <c r="AA122" s="14"/>
      <c r="AB122" s="14"/>
      <c r="AC122" s="14"/>
      <c r="AD122" s="8"/>
    </row>
    <row r="123" spans="4:30" ht="30" customHeight="1">
      <c r="D123" s="14"/>
      <c r="E123" s="14"/>
      <c r="F123" s="16"/>
      <c r="G123" s="14"/>
      <c r="H123" s="14"/>
      <c r="I123" s="14"/>
      <c r="J123" s="14"/>
      <c r="K123" s="14"/>
      <c r="L123" s="14"/>
      <c r="M123" s="14"/>
      <c r="N123" s="14"/>
      <c r="O123" s="14"/>
      <c r="P123" s="14"/>
      <c r="Q123" s="14"/>
      <c r="R123" s="14"/>
      <c r="S123" s="14"/>
      <c r="T123" s="14"/>
      <c r="U123" s="14"/>
      <c r="V123"/>
      <c r="W123"/>
      <c r="X123"/>
      <c r="Y123" s="14"/>
      <c r="Z123" s="14"/>
      <c r="AA123" s="14"/>
      <c r="AB123" s="14"/>
      <c r="AC123" s="14"/>
      <c r="AD123" s="8"/>
    </row>
    <row r="124" spans="4:30" ht="30" customHeight="1">
      <c r="D124" s="14"/>
      <c r="E124" s="14"/>
      <c r="F124" s="16"/>
      <c r="G124" s="14"/>
      <c r="H124" s="14"/>
      <c r="I124" s="14"/>
      <c r="J124" s="14"/>
      <c r="K124" s="14"/>
      <c r="L124" s="14"/>
      <c r="M124" s="14"/>
      <c r="N124" s="14"/>
      <c r="O124" s="14"/>
      <c r="P124" s="14"/>
      <c r="Q124" s="14"/>
      <c r="R124" s="14"/>
      <c r="S124" s="14"/>
      <c r="T124" s="14"/>
      <c r="U124" s="14"/>
      <c r="V124"/>
      <c r="W124"/>
      <c r="X124"/>
      <c r="Y124" s="14"/>
      <c r="Z124" s="14"/>
      <c r="AA124" s="14"/>
      <c r="AB124" s="14"/>
      <c r="AC124" s="14"/>
      <c r="AD124" s="8"/>
    </row>
    <row r="125" spans="4:30">
      <c r="D125" s="23"/>
      <c r="E125" s="14"/>
      <c r="F125" s="16"/>
      <c r="G125" s="14"/>
      <c r="H125" s="14"/>
      <c r="I125" s="14"/>
      <c r="J125" s="14"/>
      <c r="K125" s="14"/>
      <c r="L125" s="14"/>
      <c r="M125" s="14"/>
      <c r="N125" s="14"/>
      <c r="O125" s="14"/>
      <c r="P125" s="14"/>
      <c r="Q125" s="14"/>
      <c r="R125" s="14"/>
      <c r="S125" s="14"/>
      <c r="T125" s="14"/>
      <c r="U125" s="14"/>
      <c r="V125"/>
      <c r="W125"/>
      <c r="X125"/>
      <c r="Y125" s="14"/>
      <c r="Z125" s="14"/>
      <c r="AA125" s="14"/>
      <c r="AB125" s="14"/>
      <c r="AC125" s="14"/>
      <c r="AD125" s="8"/>
    </row>
    <row r="126" spans="4:30">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8"/>
    </row>
    <row r="127" spans="4:30">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8"/>
    </row>
    <row r="128" spans="4:30">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8"/>
    </row>
    <row r="129" spans="1:33">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8"/>
    </row>
    <row r="130" spans="1:33">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8"/>
    </row>
    <row r="131" spans="1:33">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8"/>
    </row>
    <row r="132" spans="1:33">
      <c r="D132" s="14"/>
    </row>
    <row r="133" spans="1:33" ht="67" customHeight="1">
      <c r="D133" s="1407" t="s">
        <v>472</v>
      </c>
      <c r="E133" s="1408"/>
      <c r="F133" s="1409"/>
      <c r="G133" s="1413" t="s">
        <v>477</v>
      </c>
      <c r="H133" s="1414"/>
      <c r="I133" s="1414"/>
      <c r="J133" s="1414"/>
      <c r="K133" s="1414"/>
      <c r="L133" s="1414"/>
      <c r="M133" s="1414"/>
      <c r="N133" s="1414"/>
      <c r="O133" s="1414"/>
      <c r="P133" s="1414"/>
      <c r="Q133" s="1414"/>
      <c r="R133" s="1414"/>
      <c r="S133" s="1414"/>
      <c r="T133" s="1414"/>
      <c r="U133" s="1414"/>
      <c r="V133" s="1414"/>
      <c r="W133" s="1414"/>
      <c r="X133" s="1414"/>
      <c r="Y133" s="1414"/>
      <c r="Z133" s="1414"/>
      <c r="AA133" s="1414"/>
      <c r="AB133" s="1414"/>
      <c r="AC133" s="1415"/>
    </row>
    <row r="134" spans="1:33" ht="67" customHeight="1">
      <c r="D134" s="1407" t="s">
        <v>473</v>
      </c>
      <c r="E134" s="1408"/>
      <c r="F134" s="1409"/>
      <c r="G134" s="1413" t="s">
        <v>478</v>
      </c>
      <c r="H134" s="1416"/>
      <c r="I134" s="1416"/>
      <c r="J134" s="1416"/>
      <c r="K134" s="1416"/>
      <c r="L134" s="1416"/>
      <c r="M134" s="1416"/>
      <c r="N134" s="1416"/>
      <c r="O134" s="1416"/>
      <c r="P134" s="1416"/>
      <c r="Q134" s="1416"/>
      <c r="R134" s="1416"/>
      <c r="S134" s="1416"/>
      <c r="T134" s="1416"/>
      <c r="U134" s="1416"/>
      <c r="V134" s="1416"/>
      <c r="W134" s="1416"/>
      <c r="X134" s="1416"/>
      <c r="Y134" s="1416"/>
      <c r="Z134" s="1416"/>
      <c r="AA134" s="1416"/>
      <c r="AB134" s="1416"/>
      <c r="AC134" s="1417"/>
    </row>
    <row r="135" spans="1:33" ht="11" customHeight="1">
      <c r="D135" s="825"/>
      <c r="E135" s="826"/>
      <c r="F135" s="826"/>
      <c r="G135" s="989"/>
      <c r="H135" s="989"/>
      <c r="I135" s="989"/>
      <c r="J135" s="989"/>
      <c r="K135" s="989"/>
      <c r="L135" s="989"/>
      <c r="M135" s="989"/>
      <c r="N135" s="989"/>
      <c r="O135" s="989"/>
      <c r="P135" s="989"/>
      <c r="Q135" s="989"/>
      <c r="R135" s="989"/>
      <c r="S135" s="989"/>
      <c r="T135" s="989"/>
      <c r="U135" s="989"/>
      <c r="V135" s="989"/>
      <c r="W135" s="989"/>
      <c r="X135" s="989"/>
      <c r="Y135" s="989"/>
      <c r="Z135" s="989"/>
      <c r="AA135" s="989"/>
      <c r="AB135" s="989"/>
      <c r="AC135" s="989"/>
    </row>
    <row r="136" spans="1:33" ht="9" customHeight="1">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c r="AD136" s="140"/>
      <c r="AE136" s="140"/>
      <c r="AF136" s="140"/>
      <c r="AG136" s="140"/>
    </row>
    <row r="137" spans="1:33" s="8" customFormat="1" ht="20">
      <c r="A137" s="140"/>
      <c r="B137" s="3"/>
      <c r="C137" s="430" t="s">
        <v>215</v>
      </c>
      <c r="D137" s="14"/>
      <c r="E137" s="14"/>
      <c r="F137" s="14"/>
      <c r="G137" s="14"/>
      <c r="H137" s="14"/>
      <c r="I137" s="14"/>
      <c r="J137" s="14"/>
      <c r="K137" s="14"/>
      <c r="L137" s="14"/>
      <c r="M137" s="14"/>
      <c r="N137" s="14"/>
      <c r="O137" s="14"/>
      <c r="P137" s="14"/>
      <c r="Q137" s="14"/>
      <c r="R137" s="14"/>
      <c r="S137" s="14"/>
      <c r="T137" s="14"/>
      <c r="U137" s="14"/>
      <c r="V137" s="14"/>
      <c r="W137" s="800"/>
      <c r="X137" s="800"/>
      <c r="Y137" s="800"/>
      <c r="Z137" s="800"/>
      <c r="AA137" s="800"/>
      <c r="AB137" s="800"/>
      <c r="AC137" s="800"/>
      <c r="AD137" s="800"/>
      <c r="AE137" s="800"/>
      <c r="AF137" s="800"/>
      <c r="AG137" s="800"/>
    </row>
    <row r="138" spans="1:33" s="8" customFormat="1" ht="6" customHeight="1">
      <c r="A138" s="140"/>
      <c r="B138" s="3"/>
      <c r="C138" s="6"/>
      <c r="D138" s="14"/>
      <c r="E138" s="14"/>
      <c r="F138" s="14"/>
      <c r="G138" s="14"/>
      <c r="H138" s="14"/>
      <c r="I138" s="14"/>
      <c r="J138" s="14"/>
      <c r="K138" s="14"/>
      <c r="L138" s="14"/>
      <c r="M138" s="14"/>
      <c r="N138" s="14"/>
      <c r="O138" s="14"/>
      <c r="P138" s="14"/>
      <c r="Q138" s="14"/>
      <c r="R138" s="14"/>
      <c r="S138" s="14"/>
      <c r="T138" s="14"/>
      <c r="U138" s="14"/>
      <c r="V138" s="14"/>
      <c r="W138" s="800"/>
      <c r="X138" s="800"/>
      <c r="Y138" s="800"/>
      <c r="Z138" s="800"/>
      <c r="AA138" s="800"/>
      <c r="AB138" s="800"/>
      <c r="AC138" s="800"/>
      <c r="AD138" s="800"/>
      <c r="AE138" s="800"/>
      <c r="AF138" s="800"/>
      <c r="AG138" s="800"/>
    </row>
    <row r="139" spans="1:33" s="8" customFormat="1" ht="15" customHeight="1">
      <c r="A139" s="140"/>
      <c r="B139" s="3"/>
      <c r="C139" s="1405" t="s">
        <v>216</v>
      </c>
      <c r="D139" s="1406"/>
      <c r="E139" s="1406"/>
      <c r="F139" s="14"/>
      <c r="G139" s="14"/>
      <c r="H139" s="324" t="s">
        <v>432</v>
      </c>
      <c r="I139" s="325"/>
      <c r="J139" s="326"/>
      <c r="K139" s="326"/>
      <c r="L139" s="320"/>
      <c r="M139" s="320"/>
      <c r="N139" s="320"/>
      <c r="O139" s="14"/>
      <c r="P139" s="14"/>
      <c r="Q139" s="14"/>
      <c r="R139" s="14"/>
      <c r="S139" s="14"/>
      <c r="T139" s="14"/>
      <c r="U139" s="14"/>
      <c r="V139" s="14"/>
      <c r="W139" s="800"/>
      <c r="X139" s="800"/>
      <c r="Y139" s="800"/>
      <c r="Z139" s="800"/>
      <c r="AA139" s="800"/>
      <c r="AB139" s="800"/>
      <c r="AC139" s="800"/>
      <c r="AD139" s="800"/>
      <c r="AE139" s="800"/>
      <c r="AF139" s="800"/>
      <c r="AG139" s="800"/>
    </row>
    <row r="140" spans="1:33" s="8" customFormat="1">
      <c r="A140" s="140"/>
      <c r="B140" s="3"/>
      <c r="C140" s="6" t="s">
        <v>189</v>
      </c>
      <c r="D140" s="14"/>
      <c r="E140" s="14"/>
      <c r="F140" s="14"/>
      <c r="G140" s="14"/>
      <c r="H140" s="321" t="s">
        <v>450</v>
      </c>
      <c r="I140" s="321"/>
      <c r="J140" s="321"/>
      <c r="K140" s="321"/>
      <c r="L140" s="321"/>
      <c r="M140" s="321"/>
      <c r="N140" s="321"/>
      <c r="O140" s="14"/>
      <c r="P140" s="14"/>
      <c r="Q140" s="14"/>
      <c r="R140" s="14"/>
      <c r="S140" s="14"/>
      <c r="T140" s="14"/>
      <c r="U140" s="14"/>
      <c r="V140" s="14"/>
      <c r="W140" s="800"/>
      <c r="X140" s="800"/>
      <c r="Y140" s="800"/>
      <c r="Z140" s="800"/>
      <c r="AA140" s="800"/>
      <c r="AB140" s="800"/>
      <c r="AC140" s="800"/>
      <c r="AD140" s="800"/>
      <c r="AE140" s="800"/>
      <c r="AF140" s="800"/>
      <c r="AG140" s="800"/>
    </row>
    <row r="141" spans="1:33" s="8" customFormat="1" ht="6" customHeight="1">
      <c r="A141" s="140"/>
      <c r="B141" s="3"/>
      <c r="C141" s="6"/>
      <c r="D141" s="14"/>
      <c r="E141" s="14"/>
      <c r="F141" s="14"/>
      <c r="G141" s="14"/>
      <c r="H141" s="14"/>
      <c r="I141" s="14"/>
      <c r="J141" s="14"/>
      <c r="K141" s="14"/>
      <c r="L141" s="14"/>
      <c r="M141" s="14"/>
      <c r="N141" s="14"/>
      <c r="O141" s="14"/>
      <c r="P141" s="14"/>
      <c r="Q141" s="14"/>
      <c r="R141" s="14"/>
      <c r="S141" s="14"/>
      <c r="T141" s="14"/>
      <c r="U141" s="14"/>
      <c r="V141" s="14"/>
      <c r="W141" s="800"/>
      <c r="X141" s="800"/>
      <c r="Y141" s="800"/>
      <c r="Z141" s="800"/>
      <c r="AA141" s="800"/>
      <c r="AB141" s="800"/>
      <c r="AC141" s="800"/>
      <c r="AD141" s="800"/>
      <c r="AE141" s="800"/>
      <c r="AF141" s="800"/>
      <c r="AG141" s="800"/>
    </row>
    <row r="142" spans="1:33" s="8" customFormat="1" ht="8.25" customHeight="1">
      <c r="A142" s="140"/>
      <c r="B142" s="3"/>
      <c r="C142" s="6"/>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1:33" s="8" customFormat="1" ht="12" customHeight="1">
      <c r="A143" s="140"/>
      <c r="B143" s="3"/>
      <c r="C143" s="77"/>
      <c r="D143" s="14"/>
      <c r="E143" s="14"/>
      <c r="F143" s="14"/>
      <c r="G143" s="14"/>
      <c r="H143" s="14"/>
      <c r="I143" s="14"/>
      <c r="J143" s="14"/>
      <c r="K143" s="14"/>
      <c r="L143" s="14"/>
      <c r="M143" s="14"/>
      <c r="N143" s="14"/>
      <c r="O143" s="14"/>
      <c r="P143" s="14"/>
      <c r="Q143" s="14"/>
      <c r="R143" s="14"/>
      <c r="S143" s="14"/>
      <c r="T143" s="14"/>
      <c r="U143" s="14"/>
      <c r="V143" s="6" t="s">
        <v>231</v>
      </c>
      <c r="W143" s="14"/>
      <c r="X143" s="14"/>
      <c r="Y143" s="14"/>
    </row>
    <row r="144" spans="1:33" s="8" customFormat="1" ht="14" customHeight="1">
      <c r="A144" s="140"/>
      <c r="B144" s="3"/>
      <c r="C144" s="6"/>
      <c r="D144" s="14"/>
      <c r="E144" s="14"/>
      <c r="F144" s="14"/>
      <c r="G144" s="14"/>
      <c r="H144" s="14"/>
      <c r="I144" s="14"/>
      <c r="J144" s="14"/>
      <c r="K144" s="14"/>
      <c r="L144" s="14"/>
      <c r="M144" s="14"/>
      <c r="N144" s="14"/>
      <c r="O144" s="14"/>
      <c r="P144" s="14"/>
      <c r="Q144" s="14"/>
      <c r="R144" s="14"/>
      <c r="S144" s="14"/>
      <c r="T144" s="14"/>
      <c r="U144" s="14"/>
      <c r="AA144"/>
    </row>
    <row r="145" spans="1:30" s="8" customFormat="1">
      <c r="A145" s="140"/>
      <c r="B145" s="3"/>
      <c r="C145" s="22"/>
      <c r="D145" s="70" t="s">
        <v>69</v>
      </c>
      <c r="E145" s="22"/>
      <c r="M145" s="6" t="s">
        <v>70</v>
      </c>
      <c r="N145" s="16"/>
      <c r="O145" s="14"/>
      <c r="P145" s="14"/>
      <c r="Q145" s="14"/>
      <c r="S145" s="14"/>
      <c r="T145" s="14"/>
      <c r="U145" s="14"/>
      <c r="V145" s="739"/>
      <c r="W145" s="739"/>
      <c r="X145" s="739"/>
      <c r="Y145" s="739"/>
      <c r="Z145" s="739"/>
      <c r="AA145" s="698"/>
    </row>
    <row r="146" spans="1:30" s="8" customFormat="1">
      <c r="A146" s="140"/>
      <c r="B146" s="3"/>
      <c r="C146" s="73"/>
      <c r="D146" s="71"/>
      <c r="E146" s="71"/>
      <c r="N146" s="9"/>
      <c r="V146" s="699" t="s">
        <v>13</v>
      </c>
      <c r="W146" s="699" t="s">
        <v>12</v>
      </c>
      <c r="X146" s="719"/>
      <c r="Y146" s="719"/>
      <c r="Z146" s="719"/>
      <c r="AA146" s="700"/>
      <c r="AB146"/>
      <c r="AC146"/>
      <c r="AD146"/>
    </row>
    <row r="147" spans="1:30" s="739" customFormat="1">
      <c r="A147" s="140"/>
      <c r="B147" s="737"/>
      <c r="C147" s="738"/>
      <c r="F147" s="738"/>
      <c r="G147" s="738"/>
      <c r="H147" s="738"/>
      <c r="I147" s="738"/>
      <c r="J147" s="738"/>
      <c r="K147" s="738"/>
      <c r="L147" s="738"/>
      <c r="N147" s="740"/>
      <c r="V147" s="699" t="s">
        <v>14</v>
      </c>
      <c r="W147" s="701" t="s">
        <v>3</v>
      </c>
      <c r="X147" s="720" t="s">
        <v>49</v>
      </c>
      <c r="Y147" s="720" t="s">
        <v>50</v>
      </c>
      <c r="Z147" s="720" t="s">
        <v>51</v>
      </c>
      <c r="AA147" s="721" t="s">
        <v>235</v>
      </c>
      <c r="AB147"/>
      <c r="AC147"/>
      <c r="AD147"/>
    </row>
    <row r="148" spans="1:30" s="694" customFormat="1">
      <c r="A148" s="140"/>
      <c r="B148" s="693"/>
      <c r="C148" s="692"/>
      <c r="D148" s="902" t="s">
        <v>13</v>
      </c>
      <c r="E148" s="902" t="s">
        <v>14</v>
      </c>
      <c r="F148" s="966"/>
      <c r="G148" s="903"/>
      <c r="H148" s="698"/>
      <c r="I148" s="718"/>
      <c r="J148" s="693"/>
      <c r="K148" s="693"/>
      <c r="L148" s="693"/>
      <c r="M148" s="699" t="s">
        <v>13</v>
      </c>
      <c r="N148" s="699" t="s">
        <v>14</v>
      </c>
      <c r="O148" s="719"/>
      <c r="P148" s="700"/>
      <c r="Q148" s="48"/>
      <c r="S148" s="693"/>
      <c r="T148" s="693"/>
      <c r="U148" s="693"/>
      <c r="V148" s="701" t="s">
        <v>47</v>
      </c>
      <c r="W148" s="706">
        <v>0.47499999999999998</v>
      </c>
      <c r="X148" s="725">
        <v>0.22500000000000001</v>
      </c>
      <c r="Y148" s="725">
        <v>0.27500000000000002</v>
      </c>
      <c r="Z148" s="725">
        <v>2.5000000000000001E-2</v>
      </c>
      <c r="AA148" s="734">
        <v>1</v>
      </c>
      <c r="AB148"/>
      <c r="AC148"/>
      <c r="AD148"/>
    </row>
    <row r="149" spans="1:30" s="694" customFormat="1">
      <c r="A149" s="140"/>
      <c r="B149" s="693"/>
      <c r="C149" s="692"/>
      <c r="D149" s="902" t="s">
        <v>12</v>
      </c>
      <c r="E149" s="902" t="s">
        <v>27</v>
      </c>
      <c r="F149" s="967" t="s">
        <v>47</v>
      </c>
      <c r="G149" s="904" t="s">
        <v>235</v>
      </c>
      <c r="H149" s="698"/>
      <c r="I149" s="718"/>
      <c r="J149" s="693"/>
      <c r="K149" s="693"/>
      <c r="L149" s="693"/>
      <c r="M149" s="699" t="s">
        <v>12</v>
      </c>
      <c r="N149" s="701" t="s">
        <v>27</v>
      </c>
      <c r="O149" s="720" t="s">
        <v>47</v>
      </c>
      <c r="P149" s="721" t="s">
        <v>235</v>
      </c>
      <c r="Q149" s="48"/>
      <c r="S149" s="693"/>
      <c r="T149" s="693"/>
      <c r="U149" s="693"/>
      <c r="V149" s="708" t="s">
        <v>27</v>
      </c>
      <c r="W149" s="711">
        <v>0.57999999999999996</v>
      </c>
      <c r="X149" s="729">
        <v>0.04</v>
      </c>
      <c r="Y149" s="729">
        <v>0.33</v>
      </c>
      <c r="Z149" s="729">
        <v>0.05</v>
      </c>
      <c r="AA149" s="735">
        <v>1</v>
      </c>
      <c r="AB149"/>
      <c r="AC149"/>
      <c r="AD149"/>
    </row>
    <row r="150" spans="1:30" s="694" customFormat="1">
      <c r="A150" s="140"/>
      <c r="B150" s="693"/>
      <c r="C150" s="692"/>
      <c r="D150" s="902" t="s">
        <v>3</v>
      </c>
      <c r="E150" s="990">
        <v>116</v>
      </c>
      <c r="F150" s="991">
        <v>57</v>
      </c>
      <c r="G150" s="992">
        <v>173</v>
      </c>
      <c r="H150" s="698"/>
      <c r="I150" s="718"/>
      <c r="J150" s="693"/>
      <c r="K150" s="693"/>
      <c r="L150" s="693"/>
      <c r="M150" s="701" t="s">
        <v>3</v>
      </c>
      <c r="N150" s="704">
        <v>0.67052023121387283</v>
      </c>
      <c r="O150" s="749">
        <v>0.32947976878612717</v>
      </c>
      <c r="P150" s="734">
        <v>1</v>
      </c>
      <c r="Q150" s="48"/>
      <c r="S150" s="693"/>
      <c r="T150" s="693"/>
      <c r="U150" s="693"/>
      <c r="V150" s="713" t="s">
        <v>235</v>
      </c>
      <c r="W150" s="716">
        <v>0.54062500000000002</v>
      </c>
      <c r="X150" s="730">
        <v>0.109375</v>
      </c>
      <c r="Y150" s="730">
        <v>0.30937500000000001</v>
      </c>
      <c r="Z150" s="730">
        <v>4.0625000000000001E-2</v>
      </c>
      <c r="AA150" s="736">
        <v>1</v>
      </c>
      <c r="AB150"/>
      <c r="AC150"/>
      <c r="AD150"/>
    </row>
    <row r="151" spans="1:30" s="694" customFormat="1">
      <c r="A151" s="140"/>
      <c r="B151" s="693"/>
      <c r="C151" s="692"/>
      <c r="D151" s="935" t="s">
        <v>49</v>
      </c>
      <c r="E151" s="1101">
        <v>8</v>
      </c>
      <c r="F151" s="703">
        <v>27</v>
      </c>
      <c r="G151" s="1102">
        <v>35</v>
      </c>
      <c r="H151" s="698"/>
      <c r="I151" s="718"/>
      <c r="J151" s="693"/>
      <c r="K151" s="693"/>
      <c r="L151" s="693"/>
      <c r="M151" s="708" t="s">
        <v>49</v>
      </c>
      <c r="N151" s="709">
        <v>0.22857142857142856</v>
      </c>
      <c r="O151" s="752">
        <v>0.77142857142857146</v>
      </c>
      <c r="P151" s="735">
        <v>1</v>
      </c>
      <c r="Q151" s="48"/>
      <c r="S151" s="693"/>
      <c r="T151" s="693"/>
      <c r="U151" s="693"/>
      <c r="V151" s="48"/>
      <c r="W151" s="48"/>
      <c r="X151" s="48"/>
      <c r="Y151" s="48"/>
      <c r="Z151" s="48"/>
      <c r="AA151" s="48"/>
      <c r="AB151" s="48"/>
    </row>
    <row r="152" spans="1:30" s="8" customFormat="1">
      <c r="A152" s="140"/>
      <c r="B152" s="14"/>
      <c r="C152" s="14"/>
      <c r="D152" s="935" t="s">
        <v>50</v>
      </c>
      <c r="E152" s="1101">
        <v>66</v>
      </c>
      <c r="F152" s="703">
        <v>33</v>
      </c>
      <c r="G152" s="1102">
        <v>99</v>
      </c>
      <c r="H152" s="25"/>
      <c r="I152" s="25"/>
      <c r="J152" s="14"/>
      <c r="K152" s="14"/>
      <c r="L152" s="14"/>
      <c r="M152" s="708" t="s">
        <v>50</v>
      </c>
      <c r="N152" s="709">
        <v>0.66666666666666663</v>
      </c>
      <c r="O152" s="752">
        <v>0.33333333333333331</v>
      </c>
      <c r="P152" s="735">
        <v>1</v>
      </c>
      <c r="Q152" s="19"/>
      <c r="R152" s="14"/>
      <c r="S152" s="14"/>
      <c r="T152" s="14"/>
      <c r="U152" s="14"/>
      <c r="V152"/>
      <c r="W152"/>
      <c r="X152"/>
      <c r="Y152" s="14"/>
      <c r="Z152" s="14"/>
    </row>
    <row r="153" spans="1:30" s="8" customFormat="1">
      <c r="A153" s="140"/>
      <c r="B153" s="14"/>
      <c r="C153" s="14"/>
      <c r="D153" s="935" t="s">
        <v>51</v>
      </c>
      <c r="E153" s="1101">
        <v>10</v>
      </c>
      <c r="F153" s="703">
        <v>3</v>
      </c>
      <c r="G153" s="1102">
        <v>13</v>
      </c>
      <c r="H153" s="14"/>
      <c r="I153" s="14"/>
      <c r="J153" s="14"/>
      <c r="K153" s="14"/>
      <c r="L153" s="14"/>
      <c r="M153" s="708" t="s">
        <v>51</v>
      </c>
      <c r="N153" s="709">
        <v>0.76923076923076927</v>
      </c>
      <c r="O153" s="752">
        <v>0.23076923076923078</v>
      </c>
      <c r="P153" s="735">
        <v>1</v>
      </c>
      <c r="Q153" s="19"/>
      <c r="R153" s="14"/>
      <c r="S153" s="14"/>
      <c r="T153" s="14"/>
      <c r="U153" s="14"/>
      <c r="V153"/>
      <c r="W153"/>
      <c r="X153"/>
      <c r="Y153" s="14"/>
      <c r="Z153" s="14"/>
    </row>
    <row r="154" spans="1:30" s="8" customFormat="1">
      <c r="A154" s="140"/>
      <c r="B154" s="14"/>
      <c r="C154" s="14"/>
      <c r="D154" s="907" t="s">
        <v>235</v>
      </c>
      <c r="E154" s="993">
        <v>200</v>
      </c>
      <c r="F154" s="994">
        <v>120</v>
      </c>
      <c r="G154" s="995">
        <v>320</v>
      </c>
      <c r="H154" s="14"/>
      <c r="I154" s="14"/>
      <c r="J154" s="14"/>
      <c r="K154" s="14"/>
      <c r="L154" s="14"/>
      <c r="M154" s="713" t="s">
        <v>235</v>
      </c>
      <c r="N154" s="714">
        <v>0.625</v>
      </c>
      <c r="O154" s="755">
        <v>0.375</v>
      </c>
      <c r="P154" s="736">
        <v>1</v>
      </c>
      <c r="Q154" s="19"/>
      <c r="R154" s="14"/>
      <c r="S154" s="14"/>
      <c r="T154" s="14"/>
      <c r="U154" s="14"/>
      <c r="V154"/>
      <c r="W154"/>
      <c r="X154"/>
      <c r="Y154" s="14"/>
      <c r="Z154" s="14"/>
    </row>
    <row r="155" spans="1:30" s="8" customFormat="1">
      <c r="A155" s="140"/>
      <c r="B155" s="14"/>
      <c r="C155" s="14"/>
      <c r="D155"/>
      <c r="E155"/>
      <c r="F155"/>
      <c r="G155"/>
      <c r="H155" s="14"/>
      <c r="I155" s="14"/>
      <c r="J155" s="14"/>
      <c r="K155" s="14"/>
      <c r="L155" s="14"/>
      <c r="M155"/>
      <c r="N155"/>
      <c r="O155"/>
      <c r="P155"/>
      <c r="Q155" s="19"/>
      <c r="R155" s="14"/>
      <c r="S155" s="14"/>
      <c r="T155" s="14"/>
      <c r="U155" s="14"/>
      <c r="V155"/>
      <c r="W155"/>
      <c r="X155"/>
      <c r="Y155" s="14"/>
      <c r="Z155" s="14"/>
    </row>
    <row r="156" spans="1:30" s="8" customFormat="1">
      <c r="A156" s="140"/>
      <c r="B156" s="14"/>
      <c r="C156" s="14"/>
      <c r="D156"/>
      <c r="E156"/>
      <c r="F156"/>
      <c r="G156"/>
      <c r="H156" s="14"/>
      <c r="I156" s="14"/>
      <c r="J156" s="14"/>
      <c r="K156" s="14"/>
      <c r="L156" s="14"/>
      <c r="M156"/>
      <c r="N156"/>
      <c r="O156"/>
      <c r="P156"/>
      <c r="Q156" s="14"/>
      <c r="R156" s="14"/>
      <c r="S156" s="14"/>
      <c r="T156" s="14"/>
      <c r="U156" s="14"/>
      <c r="V156"/>
      <c r="W156"/>
      <c r="X156"/>
      <c r="Y156" s="14"/>
      <c r="Z156" s="14"/>
    </row>
    <row r="157" spans="1:30" s="8" customFormat="1">
      <c r="A157" s="140"/>
      <c r="B157" s="14"/>
      <c r="C157" s="14"/>
      <c r="D157"/>
      <c r="E157"/>
      <c r="F157"/>
      <c r="G157"/>
      <c r="H157" s="14"/>
      <c r="I157" s="14"/>
      <c r="J157" s="14"/>
      <c r="K157" s="14"/>
      <c r="L157" s="14"/>
      <c r="M157"/>
      <c r="N157"/>
      <c r="O157"/>
      <c r="P157"/>
      <c r="Q157" s="14"/>
      <c r="R157" s="14"/>
      <c r="S157" s="14"/>
      <c r="T157" s="14"/>
      <c r="U157" s="14"/>
      <c r="V157"/>
      <c r="W157"/>
      <c r="X157"/>
      <c r="Y157" s="14"/>
      <c r="Z157" s="14"/>
    </row>
    <row r="158" spans="1:30" s="8" customFormat="1">
      <c r="A158" s="140"/>
      <c r="B158" s="14"/>
      <c r="C158" s="14"/>
      <c r="D158" s="20"/>
      <c r="E158" s="21"/>
      <c r="F158" s="21"/>
      <c r="G158" s="14"/>
      <c r="H158" s="14"/>
      <c r="I158" s="14"/>
      <c r="J158" s="14"/>
      <c r="K158" s="14"/>
      <c r="L158" s="14"/>
      <c r="M158" s="14"/>
      <c r="N158" s="14"/>
      <c r="O158" s="14"/>
      <c r="P158" s="14"/>
      <c r="Q158" s="14"/>
      <c r="R158" s="14"/>
      <c r="S158" s="14"/>
      <c r="T158" s="14"/>
      <c r="U158" s="14"/>
      <c r="V158" s="14"/>
      <c r="W158" s="14"/>
      <c r="X158" s="14"/>
      <c r="Y158" s="14"/>
      <c r="Z158" s="14"/>
    </row>
    <row r="159" spans="1:30" s="8" customFormat="1">
      <c r="A159" s="140"/>
      <c r="B159" s="14"/>
      <c r="C159" s="14"/>
      <c r="D159" s="20"/>
      <c r="E159" s="21"/>
      <c r="F159" s="21"/>
      <c r="G159" s="14"/>
      <c r="H159" s="14"/>
      <c r="I159" s="14"/>
      <c r="J159" s="14"/>
      <c r="K159" s="14"/>
      <c r="L159" s="14"/>
      <c r="M159" s="14"/>
      <c r="N159" s="14"/>
      <c r="O159" s="14"/>
      <c r="P159" s="14"/>
      <c r="Q159" s="14"/>
      <c r="R159" s="14"/>
      <c r="S159" s="14"/>
      <c r="T159" s="14"/>
      <c r="U159" s="14"/>
      <c r="V159" s="14"/>
      <c r="W159" s="14"/>
      <c r="X159" s="14"/>
      <c r="Y159" s="14"/>
      <c r="Z159" s="14"/>
    </row>
    <row r="160" spans="1:30" s="8" customFormat="1">
      <c r="A160" s="140"/>
      <c r="B160" s="14"/>
      <c r="C160" s="14"/>
      <c r="D160" s="20"/>
      <c r="E160" s="21"/>
      <c r="F160" s="21"/>
      <c r="G160" s="14"/>
      <c r="H160" s="14"/>
      <c r="I160" s="14"/>
      <c r="J160" s="14"/>
      <c r="K160" s="14"/>
      <c r="L160" s="14"/>
      <c r="M160" s="14"/>
      <c r="N160" s="14"/>
      <c r="O160" s="14"/>
      <c r="P160" s="14"/>
      <c r="Q160" s="14"/>
      <c r="R160" s="14"/>
      <c r="S160" s="14"/>
      <c r="T160" s="14"/>
      <c r="U160" s="14"/>
      <c r="V160" s="14"/>
      <c r="W160" s="14"/>
      <c r="X160" s="14"/>
      <c r="Y160" s="14"/>
      <c r="Z160" s="14"/>
    </row>
    <row r="161" spans="1:29" s="8" customFormat="1">
      <c r="A161" s="140"/>
      <c r="B161" s="14"/>
      <c r="C161" s="14"/>
      <c r="D161" s="20"/>
      <c r="E161" s="21"/>
      <c r="F161" s="21"/>
      <c r="G161" s="14"/>
      <c r="H161" s="14"/>
      <c r="I161" s="14"/>
      <c r="J161" s="14"/>
      <c r="K161" s="14"/>
      <c r="L161" s="14"/>
      <c r="M161" s="14"/>
      <c r="N161" s="14"/>
      <c r="O161" s="14"/>
      <c r="P161" s="14"/>
      <c r="Q161" s="14"/>
      <c r="R161" s="14"/>
      <c r="S161" s="14"/>
      <c r="T161" s="14"/>
      <c r="U161" s="14"/>
      <c r="V161" s="14"/>
      <c r="W161" s="14"/>
      <c r="X161" s="14"/>
      <c r="Y161" s="14"/>
      <c r="Z161" s="14"/>
    </row>
    <row r="162" spans="1:29" s="8" customFormat="1">
      <c r="A162" s="140"/>
      <c r="B162" s="14"/>
      <c r="C162" s="14"/>
      <c r="D162" s="20"/>
      <c r="E162" s="21"/>
      <c r="F162" s="21"/>
      <c r="G162" s="14"/>
      <c r="H162" s="14"/>
      <c r="I162" s="14"/>
      <c r="J162" s="14"/>
      <c r="K162" s="14"/>
      <c r="L162" s="14"/>
      <c r="M162" s="14"/>
      <c r="N162" s="14"/>
      <c r="O162" s="14"/>
      <c r="P162" s="14"/>
      <c r="Q162" s="14"/>
      <c r="R162" s="14"/>
      <c r="S162" s="14"/>
      <c r="T162" s="14"/>
      <c r="U162" s="14"/>
      <c r="V162" s="14"/>
      <c r="W162" s="14"/>
      <c r="X162" s="14"/>
      <c r="Y162" s="14"/>
      <c r="Z162" s="14"/>
    </row>
    <row r="163" spans="1:29" s="8" customFormat="1">
      <c r="A163" s="140"/>
      <c r="B163" s="14"/>
      <c r="C163" s="14"/>
      <c r="D163" s="20"/>
      <c r="E163" s="21"/>
      <c r="F163" s="21"/>
      <c r="G163" s="14"/>
      <c r="H163" s="14"/>
      <c r="I163" s="14"/>
      <c r="J163" s="14"/>
      <c r="K163" s="14"/>
      <c r="L163" s="14"/>
      <c r="M163" s="14"/>
      <c r="N163" s="14"/>
      <c r="O163" s="14"/>
      <c r="P163" s="14"/>
      <c r="Q163" s="14"/>
      <c r="R163" s="14"/>
      <c r="S163" s="14"/>
      <c r="T163" s="14"/>
      <c r="U163" s="14"/>
      <c r="V163" s="14"/>
      <c r="W163" s="14"/>
      <c r="X163" s="14"/>
      <c r="Y163" s="14"/>
      <c r="Z163" s="14"/>
    </row>
    <row r="164" spans="1:29" s="8" customFormat="1">
      <c r="A164" s="140"/>
      <c r="B164" s="14"/>
      <c r="C164" s="14"/>
      <c r="D164" s="20"/>
      <c r="E164" s="21"/>
      <c r="F164" s="21"/>
      <c r="G164" s="14"/>
      <c r="H164" s="14"/>
      <c r="I164" s="14"/>
      <c r="J164" s="14"/>
      <c r="K164" s="14"/>
      <c r="L164" s="14"/>
      <c r="M164" s="14"/>
      <c r="N164" s="14"/>
      <c r="O164" s="14"/>
      <c r="P164" s="14"/>
      <c r="Q164" s="14"/>
      <c r="R164" s="14"/>
      <c r="S164" s="14"/>
      <c r="T164" s="14"/>
      <c r="U164" s="14"/>
      <c r="V164" s="14"/>
      <c r="W164" s="14"/>
      <c r="X164" s="14"/>
      <c r="Y164" s="14"/>
      <c r="Z164" s="14"/>
    </row>
    <row r="165" spans="1:29" s="8" customFormat="1">
      <c r="A165" s="140"/>
      <c r="B165" s="14"/>
      <c r="C165" s="14"/>
      <c r="D165" s="20"/>
      <c r="E165" s="21"/>
      <c r="F165" s="21"/>
      <c r="G165" s="14"/>
      <c r="H165" s="14"/>
      <c r="I165" s="14"/>
      <c r="J165" s="14"/>
      <c r="K165" s="14"/>
      <c r="L165" s="14"/>
      <c r="M165" s="14"/>
      <c r="N165" s="14"/>
      <c r="O165" s="14"/>
      <c r="P165" s="14"/>
      <c r="Q165" s="14"/>
      <c r="R165" s="14"/>
      <c r="S165" s="14"/>
      <c r="T165" s="14"/>
      <c r="U165" s="14"/>
      <c r="V165" s="14"/>
      <c r="W165" s="14"/>
      <c r="X165" s="14"/>
      <c r="Y165" s="14"/>
      <c r="Z165" s="14"/>
    </row>
    <row r="166" spans="1:29" s="8" customFormat="1">
      <c r="A166" s="140"/>
      <c r="B166" s="14"/>
      <c r="C166" s="14"/>
      <c r="D166" s="22"/>
      <c r="E166" s="16"/>
      <c r="F166" s="14"/>
      <c r="G166" s="14"/>
      <c r="H166" s="14"/>
      <c r="I166" s="14"/>
      <c r="J166" s="14"/>
      <c r="K166" s="14"/>
      <c r="L166" s="14"/>
      <c r="M166" s="14"/>
      <c r="N166" s="14"/>
      <c r="O166" s="14"/>
      <c r="P166" s="14"/>
      <c r="Q166" s="14"/>
      <c r="R166" s="14"/>
      <c r="S166" s="14"/>
      <c r="T166" s="14"/>
      <c r="U166" s="14"/>
      <c r="V166" s="14"/>
      <c r="W166" s="14"/>
      <c r="X166" s="14"/>
      <c r="Y166" s="14"/>
      <c r="Z166" s="14"/>
    </row>
    <row r="167" spans="1:29" s="8" customFormat="1">
      <c r="A167" s="140"/>
      <c r="B167" s="14"/>
      <c r="C167" s="14"/>
      <c r="D167" s="14"/>
      <c r="E167" s="16"/>
      <c r="F167" s="14"/>
      <c r="G167" s="14"/>
      <c r="H167" s="14"/>
      <c r="I167" s="14"/>
      <c r="J167" s="14"/>
      <c r="K167" s="14"/>
      <c r="L167" s="14"/>
      <c r="M167" s="14"/>
      <c r="N167" s="14"/>
      <c r="O167" s="14"/>
      <c r="P167" s="14"/>
      <c r="Q167" s="14"/>
      <c r="R167" s="14"/>
      <c r="S167" s="14"/>
      <c r="T167" s="14"/>
      <c r="U167" s="14"/>
      <c r="V167" s="14"/>
      <c r="W167" s="14"/>
      <c r="X167" s="14"/>
      <c r="Y167" s="14"/>
      <c r="Z167" s="14"/>
    </row>
    <row r="168" spans="1:29" s="8" customFormat="1">
      <c r="A168" s="140"/>
      <c r="B168" s="6"/>
      <c r="C168" s="14"/>
      <c r="D168" s="14"/>
      <c r="E168" s="16"/>
      <c r="F168" s="14"/>
      <c r="G168" s="14"/>
      <c r="H168" s="14"/>
      <c r="I168" s="14"/>
      <c r="J168" s="14"/>
      <c r="K168" s="14"/>
      <c r="L168" s="14"/>
      <c r="M168" s="14"/>
      <c r="N168" s="14"/>
      <c r="O168" s="14"/>
      <c r="P168" s="14"/>
      <c r="Q168" s="14"/>
      <c r="R168" s="14"/>
      <c r="S168" s="14"/>
      <c r="T168" s="14"/>
      <c r="U168" s="14"/>
      <c r="V168" s="14"/>
      <c r="W168" s="14"/>
      <c r="X168" s="14"/>
      <c r="Y168" s="14"/>
      <c r="Z168" s="14"/>
    </row>
    <row r="169" spans="1:29" s="8" customFormat="1">
      <c r="A169" s="140"/>
      <c r="B169" s="23"/>
      <c r="C169" s="23"/>
      <c r="D169" s="14"/>
      <c r="E169" s="16"/>
      <c r="F169" s="14"/>
      <c r="G169" s="14"/>
      <c r="H169" s="14"/>
      <c r="I169" s="14"/>
      <c r="J169" s="14"/>
      <c r="K169" s="14"/>
      <c r="L169" s="14"/>
      <c r="M169" s="14"/>
      <c r="N169" s="14"/>
      <c r="O169" s="14"/>
      <c r="P169" s="14"/>
      <c r="Q169" s="14"/>
      <c r="R169" s="14"/>
      <c r="S169" s="14"/>
      <c r="T169" s="14"/>
      <c r="U169" s="14"/>
      <c r="V169" s="14"/>
      <c r="W169" s="14"/>
      <c r="X169" s="14"/>
      <c r="Y169" s="14"/>
      <c r="Z169" s="14"/>
    </row>
    <row r="170" spans="1:29" s="8" customFormat="1">
      <c r="A170" s="140"/>
      <c r="B170" s="6"/>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9" s="8" customFormat="1">
      <c r="A171" s="140"/>
      <c r="B171" s="23"/>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9" s="8" customFormat="1">
      <c r="A172" s="140"/>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9" s="8" customFormat="1">
      <c r="A173" s="140"/>
      <c r="B173" s="14"/>
      <c r="C173" s="14"/>
      <c r="D173" s="14"/>
      <c r="E173" s="14"/>
      <c r="F173" s="14"/>
      <c r="G173" s="14"/>
      <c r="H173" s="14"/>
      <c r="I173" s="14"/>
      <c r="J173" s="14"/>
      <c r="K173" s="14"/>
      <c r="L173" s="14"/>
      <c r="M173" s="14"/>
      <c r="N173" s="14"/>
      <c r="O173" s="14"/>
      <c r="P173" s="14"/>
      <c r="Q173" s="14"/>
      <c r="R173" s="14"/>
      <c r="S173" s="14"/>
      <c r="T173" s="14"/>
      <c r="U173" s="14"/>
      <c r="V173" s="14"/>
      <c r="W173" s="14"/>
    </row>
    <row r="174" spans="1:29" s="8" customFormat="1" ht="58" customHeight="1">
      <c r="A174" s="140"/>
      <c r="B174" s="14"/>
      <c r="C174" s="14"/>
      <c r="D174" s="1423" t="s">
        <v>472</v>
      </c>
      <c r="E174" s="1424"/>
      <c r="F174" s="1425"/>
      <c r="G174" s="1413" t="s">
        <v>477</v>
      </c>
      <c r="H174" s="1414"/>
      <c r="I174" s="1414"/>
      <c r="J174" s="1414"/>
      <c r="K174" s="1414"/>
      <c r="L174" s="1414"/>
      <c r="M174" s="1414"/>
      <c r="N174" s="1414"/>
      <c r="O174" s="1414"/>
      <c r="P174" s="1414"/>
      <c r="Q174" s="1414"/>
      <c r="R174" s="1414"/>
      <c r="S174" s="1414"/>
      <c r="T174" s="1414"/>
      <c r="U174" s="1414"/>
      <c r="V174" s="1414"/>
      <c r="W174" s="1414"/>
      <c r="X174" s="1414"/>
      <c r="Y174" s="1414"/>
      <c r="Z174" s="1414"/>
      <c r="AA174" s="1414"/>
      <c r="AB174" s="1414"/>
      <c r="AC174" s="1415"/>
    </row>
    <row r="175" spans="1:29" s="8" customFormat="1" ht="63" customHeight="1">
      <c r="A175" s="140"/>
      <c r="B175" s="14"/>
      <c r="C175" s="14"/>
      <c r="D175" s="1407" t="s">
        <v>473</v>
      </c>
      <c r="E175" s="1408"/>
      <c r="F175" s="1409"/>
      <c r="G175" s="1413" t="s">
        <v>478</v>
      </c>
      <c r="H175" s="1416"/>
      <c r="I175" s="1416"/>
      <c r="J175" s="1416"/>
      <c r="K175" s="1416"/>
      <c r="L175" s="1416"/>
      <c r="M175" s="1416"/>
      <c r="N175" s="1416"/>
      <c r="O175" s="1416"/>
      <c r="P175" s="1416"/>
      <c r="Q175" s="1416"/>
      <c r="R175" s="1416"/>
      <c r="S175" s="1416"/>
      <c r="T175" s="1416"/>
      <c r="U175" s="1416"/>
      <c r="V175" s="1416"/>
      <c r="W175" s="1416"/>
      <c r="X175" s="1416"/>
      <c r="Y175" s="1416"/>
      <c r="Z175" s="1416"/>
      <c r="AA175" s="1416"/>
      <c r="AB175" s="1416"/>
      <c r="AC175" s="1417"/>
    </row>
    <row r="176" spans="1:29" s="8" customFormat="1">
      <c r="A176" s="140"/>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row>
    <row r="177" spans="1:46" ht="9" customHeight="1">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c r="AE177" s="140"/>
      <c r="AF177" s="140"/>
      <c r="AG177" s="140"/>
      <c r="AH177" s="800"/>
      <c r="AI177" s="800"/>
      <c r="AJ177" s="800"/>
      <c r="AK177" s="800"/>
      <c r="AL177" s="800"/>
      <c r="AM177" s="800"/>
    </row>
    <row r="178" spans="1:46" s="8" customFormat="1" ht="20">
      <c r="A178" s="119"/>
      <c r="B178" s="3"/>
      <c r="C178" s="430" t="s">
        <v>78</v>
      </c>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800"/>
      <c r="AC178" s="800"/>
      <c r="AD178" s="800"/>
      <c r="AE178" s="800"/>
      <c r="AF178" s="800"/>
      <c r="AG178" s="800"/>
      <c r="AH178" s="800"/>
      <c r="AI178" s="800"/>
      <c r="AJ178" s="800"/>
      <c r="AK178" s="800"/>
      <c r="AL178" s="800"/>
      <c r="AM178" s="800"/>
      <c r="AN178" s="14"/>
      <c r="AO178" s="14"/>
    </row>
    <row r="179" spans="1:46" s="8" customFormat="1" ht="6" customHeight="1">
      <c r="A179" s="119"/>
      <c r="B179" s="3"/>
      <c r="C179" s="6"/>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800"/>
      <c r="AC179" s="800"/>
      <c r="AD179" s="800"/>
      <c r="AE179" s="800"/>
      <c r="AF179" s="800"/>
      <c r="AG179" s="800"/>
      <c r="AH179" s="800"/>
      <c r="AI179" s="800"/>
      <c r="AJ179" s="800"/>
      <c r="AK179" s="800"/>
      <c r="AL179" s="800"/>
      <c r="AM179" s="800"/>
      <c r="AN179" s="14"/>
      <c r="AO179" s="14"/>
    </row>
    <row r="180" spans="1:46" s="8" customFormat="1" ht="13">
      <c r="A180" s="119"/>
      <c r="B180" s="3"/>
      <c r="C180" s="1405" t="s">
        <v>216</v>
      </c>
      <c r="D180" s="1406"/>
      <c r="E180" s="1406"/>
      <c r="F180" s="14"/>
      <c r="G180" s="14"/>
      <c r="H180" s="14"/>
      <c r="I180" s="14"/>
      <c r="J180" s="14"/>
      <c r="K180" s="14"/>
      <c r="L180" s="14"/>
      <c r="M180" s="14"/>
      <c r="N180" s="14"/>
      <c r="O180" s="14"/>
      <c r="P180" s="14"/>
      <c r="Q180" s="14"/>
      <c r="R180" s="14"/>
      <c r="S180" s="14"/>
      <c r="T180" s="14"/>
      <c r="U180" s="14"/>
      <c r="V180" s="14"/>
      <c r="W180" s="14"/>
      <c r="X180" s="14"/>
      <c r="Y180" s="14"/>
      <c r="Z180" s="14"/>
      <c r="AA180" s="14"/>
      <c r="AB180" s="800"/>
      <c r="AC180" s="800"/>
      <c r="AD180" s="800"/>
      <c r="AE180" s="800"/>
      <c r="AF180" s="800"/>
      <c r="AG180" s="800"/>
      <c r="AH180" s="800"/>
      <c r="AI180" s="800"/>
      <c r="AJ180" s="800"/>
      <c r="AK180" s="800"/>
      <c r="AL180" s="800"/>
      <c r="AM180" s="800"/>
      <c r="AN180" s="14"/>
      <c r="AO180" s="14"/>
    </row>
    <row r="181" spans="1:46" s="8" customFormat="1" ht="13">
      <c r="A181" s="119"/>
      <c r="B181" s="3"/>
      <c r="C181" s="6" t="s">
        <v>189</v>
      </c>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800"/>
      <c r="AC181" s="800"/>
      <c r="AD181" s="800"/>
      <c r="AE181" s="800"/>
      <c r="AF181" s="800"/>
      <c r="AG181" s="800"/>
      <c r="AH181" s="800"/>
      <c r="AI181" s="800"/>
      <c r="AJ181" s="800"/>
      <c r="AK181" s="800"/>
      <c r="AL181" s="800"/>
      <c r="AM181" s="800"/>
      <c r="AN181" s="14"/>
      <c r="AO181" s="14"/>
    </row>
    <row r="182" spans="1:46" s="8" customFormat="1" ht="13">
      <c r="A182" s="119"/>
      <c r="B182" s="3"/>
      <c r="C182" s="6"/>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800"/>
      <c r="AC182" s="800"/>
      <c r="AD182" s="800"/>
      <c r="AE182" s="800"/>
      <c r="AF182" s="800"/>
      <c r="AG182" s="800"/>
      <c r="AH182" s="800"/>
      <c r="AI182" s="800"/>
      <c r="AJ182" s="800"/>
      <c r="AK182" s="800"/>
      <c r="AL182" s="800"/>
      <c r="AM182" s="800"/>
      <c r="AN182" s="14"/>
      <c r="AO182" s="14"/>
    </row>
    <row r="183" spans="1:46" s="8" customFormat="1" ht="8.25" customHeight="1">
      <c r="A183" s="119"/>
      <c r="B183" s="3"/>
      <c r="C183" s="6"/>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800"/>
      <c r="AC183" s="800"/>
      <c r="AD183" s="800"/>
      <c r="AE183" s="800"/>
      <c r="AF183" s="800"/>
      <c r="AG183" s="800"/>
      <c r="AH183" s="800"/>
      <c r="AI183" s="800"/>
      <c r="AJ183" s="800"/>
      <c r="AK183" s="800"/>
      <c r="AL183" s="800"/>
      <c r="AM183" s="800"/>
      <c r="AN183" s="14"/>
      <c r="AO183" s="14"/>
    </row>
    <row r="184" spans="1:46" s="8" customFormat="1" ht="12" customHeight="1">
      <c r="A184" s="119"/>
      <c r="B184" s="3"/>
      <c r="C184" s="77"/>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1:46" s="8" customFormat="1" ht="12" customHeight="1">
      <c r="A185" s="119"/>
      <c r="B185" s="3"/>
      <c r="C185" s="6"/>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I185" s="14"/>
      <c r="AJ185" s="14"/>
      <c r="AK185" s="14"/>
      <c r="AL185" s="14"/>
      <c r="AM185" s="14"/>
      <c r="AN185" s="14"/>
      <c r="AO185" s="14"/>
    </row>
    <row r="186" spans="1:46" s="8" customFormat="1" ht="13">
      <c r="A186" s="119"/>
      <c r="B186" s="3"/>
      <c r="C186" s="14"/>
      <c r="D186" s="6" t="s">
        <v>69</v>
      </c>
      <c r="E186" s="14"/>
      <c r="F186" s="14"/>
      <c r="G186" s="28"/>
      <c r="H186" s="27"/>
      <c r="I186" s="27"/>
      <c r="J186" s="14"/>
      <c r="K186" s="14"/>
      <c r="L186" s="14"/>
      <c r="M186" s="70" t="s">
        <v>79</v>
      </c>
      <c r="N186" s="22"/>
      <c r="O186" s="996" t="s">
        <v>432</v>
      </c>
      <c r="P186" s="997"/>
      <c r="Q186" s="997"/>
      <c r="R186" s="22"/>
      <c r="S186" s="22"/>
      <c r="T186" s="22"/>
      <c r="U186" s="800"/>
      <c r="V186" s="70" t="s">
        <v>70</v>
      </c>
      <c r="W186" s="16"/>
      <c r="X186" s="14"/>
      <c r="Y186" s="14"/>
      <c r="Z186" s="14"/>
      <c r="AA186" s="70"/>
      <c r="AB186" s="6" t="s">
        <v>230</v>
      </c>
      <c r="AC186" s="14"/>
      <c r="AD186" s="14"/>
      <c r="AE186" s="14"/>
      <c r="AI186" s="14"/>
      <c r="AJ186" s="14"/>
    </row>
    <row r="187" spans="1:46" s="8" customFormat="1" ht="14">
      <c r="A187" s="119"/>
      <c r="B187" s="3"/>
      <c r="C187" s="7"/>
      <c r="D187"/>
      <c r="E187"/>
      <c r="F187" s="718"/>
      <c r="G187" s="718"/>
      <c r="H187" s="718"/>
      <c r="M187" s="71"/>
      <c r="N187" s="71"/>
      <c r="O187" s="924" t="s">
        <v>451</v>
      </c>
      <c r="P187" s="924"/>
      <c r="Q187" s="924"/>
      <c r="R187" s="924"/>
      <c r="S187" s="924"/>
      <c r="T187" s="924"/>
      <c r="U187" s="800"/>
      <c r="W187" s="9"/>
      <c r="AA187" s="10"/>
      <c r="AQ187"/>
    </row>
    <row r="188" spans="1:46" s="694" customFormat="1" ht="14">
      <c r="A188" s="691"/>
      <c r="B188" s="693"/>
      <c r="C188" s="693"/>
      <c r="D188" s="718"/>
      <c r="E188" s="718"/>
      <c r="F188" s="718"/>
      <c r="G188" s="718"/>
      <c r="H188" s="718"/>
      <c r="I188" s="718"/>
      <c r="J188" s="693"/>
      <c r="K188" s="693"/>
      <c r="L188" s="693"/>
      <c r="M188" s="692"/>
      <c r="N188" s="692"/>
      <c r="O188" s="692"/>
      <c r="P188" s="692"/>
      <c r="Q188" s="692"/>
      <c r="R188" s="692"/>
      <c r="S188" s="692"/>
      <c r="T188" s="692"/>
      <c r="U188" s="693"/>
      <c r="V188" s="693"/>
      <c r="W188" s="693"/>
      <c r="X188" s="693"/>
      <c r="Y188" s="693"/>
      <c r="Z188" s="693"/>
      <c r="AA188" s="693"/>
      <c r="AB188" s="693"/>
      <c r="AC188" s="693"/>
      <c r="AD188" s="693"/>
      <c r="AE188" s="693"/>
      <c r="AF188" s="693"/>
      <c r="AI188" s="693"/>
      <c r="AJ188" s="693"/>
      <c r="AQ188" s="48"/>
    </row>
    <row r="189" spans="1:46" s="694" customFormat="1" ht="14">
      <c r="A189" s="691"/>
      <c r="B189" s="693"/>
      <c r="C189" s="693"/>
      <c r="D189" s="757" t="s">
        <v>13</v>
      </c>
      <c r="E189" s="757" t="s">
        <v>14</v>
      </c>
      <c r="F189" s="758"/>
      <c r="G189" s="759"/>
      <c r="H189" s="48"/>
      <c r="I189" s="718"/>
      <c r="J189" s="693"/>
      <c r="K189" s="693"/>
      <c r="L189" s="693"/>
      <c r="M189" s="902" t="s">
        <v>80</v>
      </c>
      <c r="N189" s="902" t="s">
        <v>14</v>
      </c>
      <c r="O189" s="966"/>
      <c r="P189" s="903"/>
      <c r="Q189" s="698"/>
      <c r="R189" s="698"/>
      <c r="S189" s="698"/>
      <c r="T189" s="698"/>
      <c r="U189" s="48"/>
      <c r="V189" s="699" t="s">
        <v>13</v>
      </c>
      <c r="W189" s="699" t="s">
        <v>14</v>
      </c>
      <c r="X189" s="700"/>
      <c r="Y189"/>
      <c r="Z189" s="48"/>
      <c r="AA189" s="693"/>
      <c r="AB189" s="699" t="s">
        <v>13</v>
      </c>
      <c r="AC189" s="699" t="s">
        <v>14</v>
      </c>
      <c r="AD189" s="719"/>
      <c r="AE189" s="700"/>
      <c r="AF189" s="48"/>
      <c r="AI189" s="693"/>
      <c r="AJ189" s="693"/>
      <c r="AQ189" s="48"/>
      <c r="AR189" s="48"/>
      <c r="AS189" s="48"/>
      <c r="AT189" s="48"/>
    </row>
    <row r="190" spans="1:46" s="694" customFormat="1" ht="14">
      <c r="A190" s="691"/>
      <c r="B190" s="693"/>
      <c r="C190" s="693"/>
      <c r="D190" s="757" t="s">
        <v>240</v>
      </c>
      <c r="E190" s="757" t="s">
        <v>27</v>
      </c>
      <c r="F190" s="760" t="s">
        <v>47</v>
      </c>
      <c r="G190" s="761" t="s">
        <v>235</v>
      </c>
      <c r="H190" s="48"/>
      <c r="I190" s="48"/>
      <c r="J190" s="48"/>
      <c r="K190" s="693"/>
      <c r="L190" s="693"/>
      <c r="M190" s="902" t="s">
        <v>12</v>
      </c>
      <c r="N190" s="902" t="s">
        <v>27</v>
      </c>
      <c r="O190" s="967" t="s">
        <v>47</v>
      </c>
      <c r="P190" s="904" t="s">
        <v>235</v>
      </c>
      <c r="Q190" s="698"/>
      <c r="R190" s="698"/>
      <c r="S190" s="698"/>
      <c r="T190" s="698"/>
      <c r="U190" s="48"/>
      <c r="V190" s="699" t="s">
        <v>240</v>
      </c>
      <c r="W190" s="701" t="s">
        <v>27</v>
      </c>
      <c r="X190" s="702" t="s">
        <v>47</v>
      </c>
      <c r="Y190"/>
      <c r="Z190" s="48"/>
      <c r="AA190" s="693"/>
      <c r="AB190" s="699" t="s">
        <v>240</v>
      </c>
      <c r="AC190" s="701" t="s">
        <v>47</v>
      </c>
      <c r="AD190" s="720" t="s">
        <v>27</v>
      </c>
      <c r="AE190" s="721" t="s">
        <v>235</v>
      </c>
      <c r="AF190" s="48"/>
      <c r="AI190" s="693"/>
      <c r="AJ190" s="693"/>
      <c r="AQ190" s="48"/>
      <c r="AR190" s="48"/>
      <c r="AS190" s="48"/>
      <c r="AT190" s="48"/>
    </row>
    <row r="191" spans="1:46" s="694" customFormat="1" ht="14">
      <c r="A191" s="691"/>
      <c r="B191" s="693"/>
      <c r="C191" s="693"/>
      <c r="D191" s="757" t="s">
        <v>250</v>
      </c>
      <c r="E191" s="762">
        <v>38</v>
      </c>
      <c r="F191" s="763">
        <v>30</v>
      </c>
      <c r="G191" s="764">
        <v>68</v>
      </c>
      <c r="H191" s="48"/>
      <c r="I191" s="48"/>
      <c r="J191" s="48"/>
      <c r="K191" s="693"/>
      <c r="L191" s="693"/>
      <c r="M191" s="902" t="s">
        <v>3</v>
      </c>
      <c r="N191" s="1009">
        <v>40.413793103448278</v>
      </c>
      <c r="O191" s="1010">
        <v>40.017543859649123</v>
      </c>
      <c r="P191" s="1011">
        <v>40.283236994219656</v>
      </c>
      <c r="Q191" s="698"/>
      <c r="R191" s="698"/>
      <c r="S191" s="698"/>
      <c r="T191" s="698"/>
      <c r="U191" s="48"/>
      <c r="V191" s="701" t="s">
        <v>250</v>
      </c>
      <c r="W191" s="704">
        <v>0.55882352941176472</v>
      </c>
      <c r="X191" s="705">
        <v>0.44117647058823528</v>
      </c>
      <c r="Y191"/>
      <c r="Z191" s="48"/>
      <c r="AA191" s="693"/>
      <c r="AB191" s="701" t="s">
        <v>250</v>
      </c>
      <c r="AC191" s="706">
        <v>0.25</v>
      </c>
      <c r="AD191" s="725">
        <v>0.19</v>
      </c>
      <c r="AE191" s="734">
        <v>0.21249999999999999</v>
      </c>
      <c r="AF191" s="48"/>
      <c r="AI191" s="693"/>
      <c r="AJ191" s="693"/>
      <c r="AQ191" s="48"/>
      <c r="AR191" s="48"/>
      <c r="AS191" s="48"/>
      <c r="AT191" s="48"/>
    </row>
    <row r="192" spans="1:46" s="694" customFormat="1" ht="14">
      <c r="A192" s="691"/>
      <c r="B192" s="693"/>
      <c r="C192" s="693"/>
      <c r="D192" s="765" t="s">
        <v>251</v>
      </c>
      <c r="E192" s="766">
        <v>40</v>
      </c>
      <c r="F192" s="767">
        <v>27</v>
      </c>
      <c r="G192" s="768">
        <v>67</v>
      </c>
      <c r="H192" s="48"/>
      <c r="I192" s="48"/>
      <c r="J192" s="48"/>
      <c r="K192" s="693"/>
      <c r="L192" s="693"/>
      <c r="M192" s="935" t="s">
        <v>49</v>
      </c>
      <c r="N192" s="1103">
        <v>48.375</v>
      </c>
      <c r="O192" s="1104">
        <v>34.814814814814817</v>
      </c>
      <c r="P192" s="1105">
        <v>37.914285714285711</v>
      </c>
      <c r="Q192" s="698"/>
      <c r="R192" s="698"/>
      <c r="S192" s="698"/>
      <c r="T192" s="698"/>
      <c r="U192" s="48"/>
      <c r="V192" s="708" t="s">
        <v>251</v>
      </c>
      <c r="W192" s="709">
        <v>0.59701492537313428</v>
      </c>
      <c r="X192" s="710">
        <v>0.40298507462686567</v>
      </c>
      <c r="Y192"/>
      <c r="Z192" s="48"/>
      <c r="AA192" s="693"/>
      <c r="AB192" s="708" t="s">
        <v>251</v>
      </c>
      <c r="AC192" s="711">
        <v>0.22500000000000001</v>
      </c>
      <c r="AD192" s="729">
        <v>0.2</v>
      </c>
      <c r="AE192" s="735">
        <v>0.20937500000000001</v>
      </c>
      <c r="AF192" s="48"/>
      <c r="AI192" s="693"/>
      <c r="AJ192" s="693"/>
      <c r="AQ192" s="48"/>
      <c r="AR192" s="48"/>
      <c r="AS192" s="48"/>
      <c r="AT192" s="48"/>
    </row>
    <row r="193" spans="1:46" s="694" customFormat="1" ht="14">
      <c r="A193" s="691"/>
      <c r="B193" s="693"/>
      <c r="C193" s="693"/>
      <c r="D193" s="765" t="s">
        <v>252</v>
      </c>
      <c r="E193" s="766">
        <v>71</v>
      </c>
      <c r="F193" s="767">
        <v>34</v>
      </c>
      <c r="G193" s="768">
        <v>105</v>
      </c>
      <c r="H193" s="48"/>
      <c r="I193" s="48"/>
      <c r="J193" s="48"/>
      <c r="K193" s="693"/>
      <c r="L193" s="693"/>
      <c r="M193" s="935" t="s">
        <v>50</v>
      </c>
      <c r="N193" s="1103">
        <v>40.151515151515149</v>
      </c>
      <c r="O193" s="1104">
        <v>42.515151515151516</v>
      </c>
      <c r="P193" s="1105">
        <v>40.939393939393938</v>
      </c>
      <c r="Q193" s="698"/>
      <c r="R193" s="698"/>
      <c r="S193" s="698"/>
      <c r="T193" s="698"/>
      <c r="U193" s="48"/>
      <c r="V193" s="708" t="s">
        <v>252</v>
      </c>
      <c r="W193" s="709">
        <v>0.67619047619047623</v>
      </c>
      <c r="X193" s="710">
        <v>0.32380952380952382</v>
      </c>
      <c r="Y193"/>
      <c r="Z193" s="48"/>
      <c r="AA193" s="693"/>
      <c r="AB193" s="708" t="s">
        <v>252</v>
      </c>
      <c r="AC193" s="711">
        <v>0.28333333333333333</v>
      </c>
      <c r="AD193" s="729">
        <v>0.35499999999999998</v>
      </c>
      <c r="AE193" s="735">
        <v>0.328125</v>
      </c>
      <c r="AF193" s="48"/>
      <c r="AI193" s="693"/>
      <c r="AJ193" s="693"/>
      <c r="AQ193" s="48"/>
      <c r="AR193" s="48"/>
      <c r="AS193" s="48"/>
      <c r="AT193" s="48"/>
    </row>
    <row r="194" spans="1:46" s="694" customFormat="1" ht="14">
      <c r="A194" s="691"/>
      <c r="B194" s="693"/>
      <c r="C194" s="693"/>
      <c r="D194" s="765" t="s">
        <v>618</v>
      </c>
      <c r="E194" s="766">
        <v>51</v>
      </c>
      <c r="F194" s="767">
        <v>29</v>
      </c>
      <c r="G194" s="768">
        <v>80</v>
      </c>
      <c r="H194" s="48"/>
      <c r="I194" s="48"/>
      <c r="J194" s="48"/>
      <c r="K194" s="693"/>
      <c r="L194" s="693"/>
      <c r="M194" s="935" t="s">
        <v>51</v>
      </c>
      <c r="N194" s="1103">
        <v>50.7</v>
      </c>
      <c r="O194" s="1104">
        <v>49.666666666666664</v>
      </c>
      <c r="P194" s="1105">
        <v>50.46153846153846</v>
      </c>
      <c r="Q194" s="698"/>
      <c r="R194" s="698"/>
      <c r="S194" s="698"/>
      <c r="T194" s="698"/>
      <c r="U194" s="48"/>
      <c r="V194" s="708" t="s">
        <v>618</v>
      </c>
      <c r="W194" s="709">
        <v>0.63749999999999996</v>
      </c>
      <c r="X194" s="710">
        <v>0.36249999999999999</v>
      </c>
      <c r="Y194"/>
      <c r="Z194" s="48"/>
      <c r="AA194" s="693"/>
      <c r="AB194" s="708" t="s">
        <v>618</v>
      </c>
      <c r="AC194" s="711">
        <v>0.24166666666666667</v>
      </c>
      <c r="AD194" s="729">
        <v>0.255</v>
      </c>
      <c r="AE194" s="735">
        <v>0.25</v>
      </c>
      <c r="AF194" s="48"/>
      <c r="AI194" s="693"/>
      <c r="AJ194" s="693"/>
      <c r="AQ194" s="48"/>
    </row>
    <row r="195" spans="1:46" s="694" customFormat="1" ht="14">
      <c r="A195" s="691"/>
      <c r="B195" s="693"/>
      <c r="C195" s="693"/>
      <c r="D195" s="769" t="s">
        <v>235</v>
      </c>
      <c r="E195" s="770">
        <v>200</v>
      </c>
      <c r="F195" s="771">
        <v>120</v>
      </c>
      <c r="G195" s="772">
        <v>320</v>
      </c>
      <c r="H195" s="48"/>
      <c r="I195" s="48"/>
      <c r="J195" s="48"/>
      <c r="K195" s="693"/>
      <c r="L195" s="693"/>
      <c r="M195" s="907" t="s">
        <v>235</v>
      </c>
      <c r="N195" s="1012">
        <v>41.16</v>
      </c>
      <c r="O195" s="1013">
        <v>39.774999999999999</v>
      </c>
      <c r="P195" s="1014">
        <v>40.640625</v>
      </c>
      <c r="Q195" s="698"/>
      <c r="R195" s="698"/>
      <c r="S195" s="698"/>
      <c r="T195" s="698"/>
      <c r="U195" s="48"/>
      <c r="V195" s="713" t="s">
        <v>235</v>
      </c>
      <c r="W195" s="714">
        <v>0.625</v>
      </c>
      <c r="X195" s="715">
        <v>0.375</v>
      </c>
      <c r="Y195"/>
      <c r="Z195" s="48"/>
      <c r="AA195" s="693"/>
      <c r="AB195" s="713" t="s">
        <v>235</v>
      </c>
      <c r="AC195" s="716">
        <v>1</v>
      </c>
      <c r="AD195" s="730">
        <v>1</v>
      </c>
      <c r="AE195" s="736">
        <v>1</v>
      </c>
      <c r="AF195" s="48"/>
      <c r="AI195" s="693"/>
      <c r="AJ195" s="693"/>
      <c r="AQ195" s="48"/>
    </row>
    <row r="196" spans="1:46" s="694" customFormat="1" ht="14">
      <c r="A196" s="691"/>
      <c r="B196" s="693"/>
      <c r="C196" s="693"/>
      <c r="D196"/>
      <c r="E196"/>
      <c r="F196"/>
      <c r="G196"/>
      <c r="H196"/>
      <c r="I196" s="48"/>
      <c r="J196" s="48"/>
      <c r="K196" s="693"/>
      <c r="L196" s="693"/>
      <c r="M196"/>
      <c r="N196"/>
      <c r="O196"/>
      <c r="P196"/>
      <c r="Q196" s="698"/>
      <c r="R196" s="698"/>
      <c r="S196" s="48"/>
      <c r="T196" s="48"/>
      <c r="U196" s="48"/>
      <c r="AA196" s="693"/>
      <c r="AB196" s="693"/>
      <c r="AC196" s="48"/>
      <c r="AD196" s="48"/>
      <c r="AE196" s="48"/>
      <c r="AF196" s="48"/>
      <c r="AG196" s="48"/>
      <c r="AI196" s="693"/>
      <c r="AJ196" s="693"/>
      <c r="AQ196" s="48"/>
    </row>
    <row r="197" spans="1:46" s="8" customFormat="1" ht="13">
      <c r="A197" s="119"/>
      <c r="B197" s="14"/>
      <c r="C197" s="14"/>
      <c r="D197"/>
      <c r="E197"/>
      <c r="F197"/>
      <c r="G197"/>
      <c r="H197"/>
      <c r="I197" s="14"/>
      <c r="J197" s="14"/>
      <c r="K197" s="14"/>
      <c r="L197" s="14"/>
      <c r="M197"/>
      <c r="N197"/>
      <c r="O197"/>
      <c r="P197"/>
      <c r="Q197" s="14"/>
      <c r="R197" s="14"/>
      <c r="S197" s="14"/>
      <c r="T197" s="14"/>
      <c r="U197" s="14"/>
      <c r="V197" s="14"/>
      <c r="W197" s="14"/>
      <c r="X197" s="14"/>
      <c r="Y197" s="14"/>
      <c r="Z197" s="14"/>
      <c r="AA197" s="14"/>
      <c r="AB197" s="14"/>
      <c r="AC197" s="14"/>
      <c r="AD197" s="14"/>
      <c r="AE197" s="14"/>
      <c r="AF197" s="14"/>
      <c r="AG197" s="14"/>
      <c r="AH197" s="14"/>
      <c r="AI197" s="14"/>
      <c r="AJ197" s="14"/>
      <c r="AK197" s="14"/>
      <c r="AL197"/>
      <c r="AM197"/>
      <c r="AN197"/>
      <c r="AO197" s="14"/>
      <c r="AP197" s="14"/>
    </row>
    <row r="198" spans="1:46" s="8" customFormat="1" ht="13">
      <c r="A198" s="119"/>
      <c r="B198" s="14"/>
      <c r="C198" s="14"/>
      <c r="I198" s="14"/>
      <c r="J198" s="14"/>
      <c r="K198" s="14"/>
      <c r="L198" s="14"/>
      <c r="M198"/>
      <c r="N198"/>
      <c r="O198"/>
      <c r="P198"/>
      <c r="Q198" s="14"/>
      <c r="R198" s="14"/>
      <c r="S198" s="14"/>
      <c r="T198" s="14"/>
      <c r="U198" s="14"/>
      <c r="V198" s="14"/>
      <c r="W198" s="14"/>
      <c r="X198" s="14"/>
      <c r="Y198" s="14"/>
      <c r="Z198" s="14"/>
      <c r="AA198" s="14"/>
      <c r="AB198" s="14"/>
      <c r="AC198" s="14"/>
      <c r="AD198" s="14"/>
      <c r="AE198" s="14"/>
      <c r="AF198" s="14"/>
      <c r="AG198" s="14"/>
      <c r="AH198" s="14"/>
      <c r="AI198" s="14"/>
      <c r="AJ198" s="14"/>
      <c r="AK198" s="14"/>
      <c r="AL198"/>
      <c r="AM198"/>
      <c r="AN198"/>
      <c r="AO198" s="14"/>
      <c r="AP198" s="14"/>
    </row>
    <row r="199" spans="1:46" s="8" customFormat="1" ht="13">
      <c r="A199" s="119"/>
      <c r="B199" s="14"/>
      <c r="C199" s="14"/>
      <c r="D199"/>
      <c r="E199"/>
      <c r="F199"/>
      <c r="G199"/>
      <c r="H199"/>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c r="AM199"/>
      <c r="AN199"/>
      <c r="AO199" s="14"/>
      <c r="AP199" s="14"/>
    </row>
    <row r="200" spans="1:46" s="8" customFormat="1" ht="13">
      <c r="A200" s="119"/>
      <c r="B200" s="14"/>
      <c r="C200" s="14"/>
      <c r="D200"/>
      <c r="E200"/>
      <c r="F200"/>
      <c r="G200"/>
      <c r="H200"/>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c r="AM200"/>
      <c r="AN200"/>
      <c r="AO200" s="14"/>
      <c r="AP200" s="14"/>
    </row>
    <row r="201" spans="1:46" s="8" customFormat="1" ht="13">
      <c r="A201" s="119"/>
      <c r="B201" s="14"/>
      <c r="C201" s="14"/>
      <c r="D201"/>
      <c r="E201"/>
      <c r="F201"/>
      <c r="G201"/>
      <c r="H201"/>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c r="AM201"/>
      <c r="AN201"/>
      <c r="AO201" s="14"/>
      <c r="AP201" s="14"/>
    </row>
    <row r="202" spans="1:46" s="8" customFormat="1" ht="13">
      <c r="A202" s="119"/>
      <c r="B202" s="14"/>
      <c r="C202" s="14"/>
      <c r="D202"/>
      <c r="E202"/>
      <c r="F202"/>
      <c r="G202"/>
      <c r="H202"/>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c r="AM202"/>
      <c r="AN202"/>
      <c r="AO202" s="14"/>
      <c r="AP202" s="14"/>
    </row>
    <row r="203" spans="1:46" s="8" customFormat="1" ht="13">
      <c r="A203" s="119"/>
      <c r="B203" s="14"/>
      <c r="C203" s="14"/>
      <c r="D203"/>
      <c r="E203"/>
      <c r="F203"/>
      <c r="G203"/>
      <c r="H203"/>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c r="AM203"/>
      <c r="AN203"/>
      <c r="AO203" s="14"/>
      <c r="AP203" s="14"/>
    </row>
    <row r="204" spans="1:46" s="8" customFormat="1" ht="13">
      <c r="A204" s="119"/>
      <c r="B204" s="14"/>
      <c r="C204" s="14"/>
      <c r="D204"/>
      <c r="E204"/>
      <c r="F204"/>
      <c r="G204"/>
      <c r="H20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c r="AM204"/>
      <c r="AN204"/>
      <c r="AO204" s="14"/>
      <c r="AP204" s="14"/>
    </row>
    <row r="205" spans="1:46" s="8" customFormat="1" ht="13">
      <c r="A205" s="119"/>
      <c r="B205" s="14"/>
      <c r="C205" s="14"/>
      <c r="D205"/>
      <c r="E205"/>
      <c r="F205"/>
      <c r="G205"/>
      <c r="H205"/>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c r="AM205"/>
      <c r="AN205"/>
      <c r="AO205" s="14"/>
      <c r="AP205" s="14"/>
    </row>
    <row r="206" spans="1:46" s="8" customFormat="1" ht="13">
      <c r="A206" s="119"/>
      <c r="B206" s="14"/>
      <c r="C206" s="14"/>
      <c r="D206"/>
      <c r="E206"/>
      <c r="F206"/>
      <c r="G206"/>
      <c r="H206"/>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c r="AM206"/>
      <c r="AN206"/>
      <c r="AO206" s="14"/>
      <c r="AP206" s="14"/>
    </row>
    <row r="207" spans="1:46" s="8" customFormat="1" ht="13">
      <c r="A207" s="119"/>
      <c r="B207" s="14"/>
      <c r="C207" s="14"/>
      <c r="D207" s="20"/>
      <c r="E207" s="21"/>
      <c r="F207" s="21"/>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c r="AM207"/>
      <c r="AN207"/>
      <c r="AO207" s="14"/>
      <c r="AP207" s="14"/>
    </row>
    <row r="208" spans="1:46" s="8" customFormat="1" ht="13">
      <c r="A208" s="119"/>
      <c r="B208" s="14"/>
      <c r="C208" s="14"/>
      <c r="D208" s="20"/>
      <c r="E208" s="21"/>
      <c r="F208" s="21"/>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row>
    <row r="209" spans="1:80" s="8" customFormat="1" ht="13">
      <c r="A209" s="119"/>
      <c r="B209" s="14"/>
      <c r="C209" s="14"/>
      <c r="D209" s="20"/>
      <c r="E209" s="21"/>
      <c r="F209" s="21"/>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row>
    <row r="210" spans="1:80" s="8" customFormat="1" ht="13">
      <c r="A210" s="119"/>
      <c r="B210" s="14"/>
      <c r="C210" s="14"/>
      <c r="D210" s="22"/>
      <c r="E210" s="16"/>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row>
    <row r="211" spans="1:80" s="8" customFormat="1" ht="13">
      <c r="A211" s="119"/>
      <c r="B211" s="14"/>
      <c r="C211" s="14"/>
      <c r="D211" s="14"/>
      <c r="E211" s="16"/>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row>
    <row r="212" spans="1:80" s="8" customFormat="1" ht="13">
      <c r="A212" s="119"/>
      <c r="B212" s="6"/>
      <c r="C212" s="14"/>
      <c r="D212" s="14"/>
      <c r="E212" s="16"/>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row>
    <row r="213" spans="1:80" s="8" customFormat="1" ht="13">
      <c r="A213" s="119"/>
      <c r="B213" s="23"/>
      <c r="C213" s="23"/>
      <c r="D213" s="14"/>
      <c r="E213" s="16"/>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row>
    <row r="214" spans="1:80" s="8" customFormat="1" ht="13">
      <c r="A214" s="119"/>
      <c r="B214" s="6"/>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row>
    <row r="215" spans="1:80" s="8" customFormat="1" ht="13">
      <c r="A215" s="119"/>
      <c r="B215" s="23"/>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row>
    <row r="216" spans="1:80" s="8" customFormat="1" ht="13">
      <c r="A216" s="119"/>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row>
    <row r="217" spans="1:80" s="8" customFormat="1" ht="13">
      <c r="A217" s="119"/>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row>
    <row r="218" spans="1:80" s="8" customFormat="1" ht="13">
      <c r="A218" s="119"/>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row>
    <row r="219" spans="1:80" s="8" customFormat="1" ht="57" customHeight="1">
      <c r="A219" s="119"/>
      <c r="B219" s="14"/>
      <c r="C219" s="14"/>
      <c r="D219" s="1407" t="s">
        <v>472</v>
      </c>
      <c r="E219" s="1408"/>
      <c r="F219" s="1409"/>
      <c r="G219" s="1413" t="s">
        <v>477</v>
      </c>
      <c r="H219" s="1414"/>
      <c r="I219" s="1414"/>
      <c r="J219" s="1414"/>
      <c r="K219" s="1414"/>
      <c r="L219" s="1414"/>
      <c r="M219" s="1414"/>
      <c r="N219" s="1414"/>
      <c r="O219" s="1414"/>
      <c r="P219" s="1414"/>
      <c r="Q219" s="1414"/>
      <c r="R219" s="1414"/>
      <c r="S219" s="1414"/>
      <c r="T219" s="1414"/>
      <c r="U219" s="1414"/>
      <c r="V219" s="1414"/>
      <c r="W219" s="1414"/>
      <c r="X219" s="1414"/>
      <c r="Y219" s="1414"/>
      <c r="Z219" s="1414"/>
      <c r="AA219" s="1414"/>
      <c r="AB219" s="1414"/>
      <c r="AC219" s="1415"/>
      <c r="AD219" s="14"/>
      <c r="AE219" s="14"/>
      <c r="AF219" s="14"/>
      <c r="AG219" s="14"/>
      <c r="AH219" s="14"/>
      <c r="AI219" s="14"/>
      <c r="AJ219" s="14"/>
      <c r="AK219" s="14"/>
      <c r="AL219" s="14"/>
      <c r="AM219" s="14"/>
      <c r="AN219" s="14"/>
      <c r="AO219" s="14"/>
      <c r="AP219" s="14"/>
    </row>
    <row r="220" spans="1:80" s="8" customFormat="1" ht="66" customHeight="1">
      <c r="A220" s="119"/>
      <c r="B220" s="14"/>
      <c r="C220" s="14"/>
      <c r="D220" s="1407" t="s">
        <v>473</v>
      </c>
      <c r="E220" s="1408"/>
      <c r="F220" s="1409"/>
      <c r="G220" s="1413" t="s">
        <v>478</v>
      </c>
      <c r="H220" s="1416"/>
      <c r="I220" s="1416"/>
      <c r="J220" s="1416"/>
      <c r="K220" s="1416"/>
      <c r="L220" s="1416"/>
      <c r="M220" s="1416"/>
      <c r="N220" s="1416"/>
      <c r="O220" s="1416"/>
      <c r="P220" s="1416"/>
      <c r="Q220" s="1416"/>
      <c r="R220" s="1416"/>
      <c r="S220" s="1416"/>
      <c r="T220" s="1416"/>
      <c r="U220" s="1416"/>
      <c r="V220" s="1416"/>
      <c r="W220" s="1416"/>
      <c r="X220" s="1416"/>
      <c r="Y220" s="1416"/>
      <c r="Z220" s="1416"/>
      <c r="AA220" s="1416"/>
      <c r="AB220" s="1416"/>
      <c r="AC220" s="1417"/>
      <c r="AD220" s="14"/>
      <c r="AE220" s="14"/>
      <c r="AF220" s="14"/>
      <c r="AG220" s="14"/>
      <c r="AH220" s="14"/>
      <c r="AI220" s="14"/>
      <c r="AJ220" s="14"/>
      <c r="AK220" s="14"/>
      <c r="AL220" s="14"/>
      <c r="AM220" s="14"/>
      <c r="AN220" s="14"/>
      <c r="AO220" s="14"/>
      <c r="AP220" s="14"/>
    </row>
    <row r="221" spans="1:80" s="8" customFormat="1" ht="13">
      <c r="A221" s="119"/>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row>
    <row r="222" spans="1:80" ht="11" customHeight="1">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c r="AG222" s="140"/>
    </row>
    <row r="224" spans="1:80" s="8" customFormat="1" ht="20">
      <c r="A224" s="119"/>
      <c r="B224" s="3"/>
      <c r="C224" s="430" t="s">
        <v>77</v>
      </c>
      <c r="D224" s="14"/>
      <c r="E224" s="14"/>
      <c r="F224" s="14"/>
      <c r="G224" s="14"/>
      <c r="H224" s="14"/>
      <c r="I224" s="14"/>
      <c r="J224" s="14"/>
      <c r="K224" s="14"/>
      <c r="N224" s="14"/>
      <c r="O224" s="14"/>
      <c r="P224" s="14"/>
      <c r="Q224" s="14"/>
      <c r="R224" s="14"/>
      <c r="S224" s="14"/>
      <c r="T224" s="14"/>
      <c r="U224" s="14"/>
      <c r="V224" s="14"/>
      <c r="W224" s="14"/>
      <c r="X224" s="75"/>
      <c r="Y224" s="14"/>
      <c r="Z224" s="14"/>
      <c r="AA224" s="14"/>
      <c r="BQ224" s="14"/>
      <c r="BR224" s="14"/>
      <c r="BS224" s="14"/>
      <c r="BT224" s="14"/>
      <c r="BU224" s="14"/>
      <c r="BV224" s="14"/>
      <c r="BW224" s="14"/>
      <c r="BX224" s="14"/>
      <c r="BY224" s="14"/>
      <c r="BZ224" s="14"/>
      <c r="CA224" s="14"/>
      <c r="CB224" s="14"/>
    </row>
    <row r="225" spans="1:80" s="8" customFormat="1" ht="6" customHeight="1">
      <c r="A225" s="119"/>
      <c r="B225" s="3"/>
      <c r="C225" s="6"/>
      <c r="D225" s="14"/>
      <c r="E225" s="14"/>
      <c r="F225" s="14"/>
      <c r="G225" s="14"/>
      <c r="H225" s="14"/>
      <c r="I225" s="14"/>
      <c r="J225" s="14"/>
      <c r="K225" s="14"/>
      <c r="N225" s="14"/>
      <c r="O225" s="14"/>
      <c r="P225" s="14"/>
      <c r="Q225" s="14"/>
      <c r="R225" s="14"/>
      <c r="S225" s="14"/>
      <c r="T225" s="14"/>
      <c r="U225" s="14"/>
      <c r="V225" s="14"/>
      <c r="W225" s="14"/>
      <c r="X225" s="14"/>
      <c r="Y225" s="14"/>
      <c r="Z225" s="14"/>
      <c r="AA225" s="14"/>
      <c r="BQ225" s="14"/>
      <c r="BR225" s="14"/>
      <c r="BS225" s="14"/>
      <c r="BT225" s="14"/>
      <c r="BU225" s="14"/>
      <c r="BV225" s="14"/>
      <c r="BW225" s="14"/>
      <c r="BX225" s="14"/>
      <c r="BY225" s="14"/>
      <c r="BZ225" s="14"/>
      <c r="CA225" s="14"/>
      <c r="CB225" s="14"/>
    </row>
    <row r="226" spans="1:80" s="8" customFormat="1" ht="20">
      <c r="A226" s="119"/>
      <c r="B226" s="3"/>
      <c r="C226" s="1405" t="s">
        <v>216</v>
      </c>
      <c r="D226" s="1406"/>
      <c r="E226" s="1406"/>
      <c r="F226" s="14"/>
      <c r="G226" s="14"/>
      <c r="H226" s="14"/>
      <c r="I226" s="14"/>
      <c r="J226" s="14"/>
      <c r="K226" s="14"/>
      <c r="N226" s="14"/>
      <c r="O226" s="14"/>
      <c r="P226" s="14"/>
      <c r="Q226" s="14"/>
      <c r="R226" s="14"/>
      <c r="S226" s="14"/>
      <c r="T226" s="14"/>
      <c r="U226" s="14"/>
      <c r="V226" s="14"/>
      <c r="W226" s="14"/>
      <c r="X226" s="442"/>
      <c r="Y226" s="14"/>
      <c r="Z226" s="14"/>
      <c r="AA226" s="14"/>
      <c r="BQ226" s="14"/>
      <c r="BR226" s="14"/>
      <c r="BS226" s="14"/>
      <c r="BT226" s="14"/>
      <c r="BU226" s="14"/>
      <c r="BV226" s="14"/>
      <c r="BW226" s="14"/>
      <c r="BX226" s="14"/>
      <c r="BY226" s="14"/>
      <c r="BZ226" s="14"/>
      <c r="CA226" s="14"/>
      <c r="CB226" s="14"/>
    </row>
    <row r="227" spans="1:80" s="8" customFormat="1" ht="13">
      <c r="A227" s="119"/>
      <c r="B227" s="3"/>
      <c r="C227" s="6" t="s">
        <v>189</v>
      </c>
      <c r="D227" s="14"/>
      <c r="E227" s="14"/>
      <c r="F227" s="14"/>
      <c r="G227" s="14"/>
      <c r="H227" s="14"/>
      <c r="I227" s="14"/>
      <c r="J227" s="14"/>
      <c r="K227" s="14"/>
      <c r="N227" s="14"/>
      <c r="O227" s="14"/>
      <c r="P227" s="14"/>
      <c r="Q227" s="14"/>
      <c r="R227" s="14"/>
      <c r="S227" s="14"/>
      <c r="T227" s="14"/>
      <c r="U227" s="14"/>
      <c r="V227" s="14"/>
      <c r="W227" s="14"/>
      <c r="X227" s="14"/>
      <c r="Y227" s="14"/>
      <c r="Z227" s="14"/>
      <c r="AA227" s="14"/>
      <c r="BQ227" s="14"/>
      <c r="BR227" s="14"/>
      <c r="BS227" s="14"/>
      <c r="BT227" s="14"/>
      <c r="BU227" s="14"/>
      <c r="BV227" s="14"/>
      <c r="BW227" s="14"/>
      <c r="BX227" s="14"/>
      <c r="BY227" s="14"/>
      <c r="BZ227" s="14"/>
      <c r="CA227" s="14"/>
      <c r="CB227" s="14"/>
    </row>
    <row r="228" spans="1:80" s="8" customFormat="1" ht="13">
      <c r="A228" s="119"/>
      <c r="B228" s="3"/>
      <c r="C228" s="6"/>
      <c r="D228" s="14"/>
      <c r="E228" s="14"/>
      <c r="F228" s="14"/>
      <c r="G228" s="14"/>
      <c r="H228" s="14"/>
      <c r="I228" s="14"/>
      <c r="J228" s="14"/>
      <c r="K228" s="14"/>
      <c r="N228" s="14"/>
      <c r="O228" s="14"/>
      <c r="P228" s="14"/>
      <c r="Q228" s="14"/>
      <c r="R228" s="14"/>
      <c r="S228" s="14"/>
      <c r="T228" s="14"/>
      <c r="U228" s="14"/>
      <c r="V228" s="14"/>
      <c r="W228" s="14"/>
      <c r="X228" s="14"/>
      <c r="Y228" s="14"/>
      <c r="Z228" s="14"/>
      <c r="AA228" s="14"/>
      <c r="BQ228" s="14"/>
      <c r="BR228" s="14"/>
      <c r="BS228" s="14"/>
      <c r="BT228" s="14"/>
      <c r="BU228" s="14"/>
      <c r="BV228" s="14"/>
      <c r="BW228" s="14"/>
      <c r="BX228" s="14"/>
      <c r="BY228" s="14"/>
      <c r="BZ228" s="14"/>
      <c r="CA228" s="14"/>
      <c r="CB228" s="14"/>
    </row>
    <row r="229" spans="1:80" s="8" customFormat="1" ht="8.25" customHeight="1">
      <c r="A229" s="119"/>
      <c r="B229" s="3"/>
      <c r="C229" s="6"/>
      <c r="D229" s="14"/>
      <c r="E229" s="14"/>
      <c r="F229" s="14"/>
      <c r="G229" s="14"/>
      <c r="H229" s="14"/>
      <c r="I229" s="14"/>
      <c r="J229" s="14"/>
      <c r="K229" s="14"/>
      <c r="N229" s="14"/>
      <c r="O229" s="14"/>
      <c r="P229" s="14"/>
      <c r="Q229" s="14"/>
      <c r="R229" s="14"/>
      <c r="S229" s="14"/>
      <c r="T229" s="14"/>
      <c r="U229" s="14"/>
      <c r="V229" s="14"/>
      <c r="W229" s="14"/>
      <c r="X229" s="14"/>
      <c r="Y229" s="14"/>
      <c r="Z229" s="14"/>
      <c r="AA229" s="14"/>
      <c r="BQ229" s="14"/>
      <c r="BR229" s="14"/>
      <c r="BS229" s="14"/>
      <c r="BT229" s="14"/>
      <c r="BU229" s="14"/>
      <c r="BV229" s="14"/>
      <c r="BW229" s="14"/>
      <c r="BX229" s="14"/>
      <c r="BY229" s="14"/>
      <c r="BZ229" s="14"/>
      <c r="CA229" s="14"/>
      <c r="CB229" s="14"/>
    </row>
    <row r="230" spans="1:80" s="8" customFormat="1" ht="12.75" customHeight="1">
      <c r="A230" s="119"/>
      <c r="B230" s="3"/>
      <c r="C230" s="77"/>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1:80" s="8" customFormat="1" ht="10" customHeight="1">
      <c r="A231" s="119"/>
      <c r="B231" s="3"/>
      <c r="C231" s="6"/>
      <c r="D231" s="14"/>
      <c r="E231" s="14"/>
      <c r="F231" s="14"/>
      <c r="G231" s="14"/>
      <c r="H231" s="14"/>
      <c r="I231" s="14"/>
      <c r="J231" s="14"/>
      <c r="K231" s="14"/>
      <c r="N231" s="14"/>
      <c r="O231" s="14"/>
      <c r="P231" s="14"/>
      <c r="Q231" s="14"/>
      <c r="R231" s="14"/>
      <c r="S231" s="14"/>
      <c r="T231" s="14"/>
      <c r="U231" s="14"/>
      <c r="V231" s="14"/>
      <c r="W231" s="14"/>
      <c r="X231" s="14"/>
      <c r="Y231" s="14"/>
      <c r="Z231" s="14"/>
      <c r="AA231" s="14"/>
      <c r="BQ231" s="14"/>
      <c r="BR231" s="14"/>
      <c r="BS231" s="14"/>
      <c r="BT231" s="14"/>
      <c r="BU231" s="14"/>
      <c r="BV231" s="14"/>
      <c r="BW231" s="14"/>
      <c r="BX231" s="14"/>
      <c r="BY231" s="14"/>
      <c r="BZ231" s="14"/>
      <c r="CA231" s="14"/>
      <c r="CB231" s="14"/>
    </row>
    <row r="232" spans="1:80" s="8" customFormat="1" ht="13">
      <c r="A232" s="119"/>
      <c r="B232" s="3"/>
      <c r="C232" s="14"/>
      <c r="D232" s="6" t="s">
        <v>69</v>
      </c>
      <c r="E232" s="14"/>
      <c r="F232" s="14"/>
      <c r="G232" s="28"/>
      <c r="H232" s="27"/>
      <c r="I232" s="27"/>
      <c r="J232" s="14"/>
      <c r="K232" s="14"/>
      <c r="N232" s="6" t="s">
        <v>70</v>
      </c>
      <c r="O232" s="16"/>
      <c r="P232" s="14"/>
      <c r="Q232" s="14"/>
      <c r="R232" s="14"/>
      <c r="S232" s="14"/>
      <c r="T232" s="14"/>
      <c r="U232" s="14"/>
      <c r="V232" s="14"/>
      <c r="W232" s="14"/>
      <c r="X232" s="6" t="s">
        <v>229</v>
      </c>
      <c r="Y232" s="14"/>
      <c r="Z232" s="14"/>
      <c r="AA232" s="14"/>
      <c r="AB232" s="319" t="s">
        <v>76</v>
      </c>
      <c r="AC232" s="320"/>
      <c r="AD232" s="324" t="s">
        <v>432</v>
      </c>
      <c r="AE232" s="326"/>
      <c r="AF232" s="326"/>
      <c r="AG232" s="320"/>
      <c r="AH232" s="320"/>
      <c r="AI232" s="14"/>
      <c r="AJ232" s="14"/>
      <c r="AK232" s="14"/>
      <c r="AL232" s="14"/>
    </row>
    <row r="233" spans="1:80" s="694" customFormat="1" ht="14">
      <c r="A233" s="691"/>
      <c r="B233" s="693"/>
      <c r="C233" s="693"/>
      <c r="D233" s="718"/>
      <c r="E233" s="718"/>
      <c r="F233" s="718"/>
      <c r="G233" s="718"/>
      <c r="H233" s="718"/>
      <c r="I233" s="718"/>
      <c r="J233" s="693"/>
      <c r="K233" s="693"/>
      <c r="N233" s="693"/>
      <c r="O233" s="693"/>
      <c r="P233" s="693"/>
      <c r="Q233" s="693"/>
      <c r="R233" s="693"/>
      <c r="S233" s="693"/>
      <c r="T233" s="693"/>
      <c r="U233" s="693"/>
      <c r="V233" s="693"/>
      <c r="W233" s="693"/>
      <c r="X233" s="693"/>
      <c r="Y233" s="693"/>
      <c r="Z233" s="693"/>
      <c r="AA233" s="693"/>
      <c r="AB233" s="800"/>
      <c r="AC233" s="800"/>
      <c r="AD233" s="800"/>
      <c r="AE233" s="800"/>
      <c r="AF233" s="800"/>
      <c r="AG233" s="800"/>
      <c r="AH233" s="800"/>
      <c r="AI233" s="800"/>
      <c r="AJ233" s="800"/>
      <c r="AK233" s="800"/>
      <c r="AL233" s="800"/>
      <c r="AM233" s="800"/>
      <c r="AN233" s="800"/>
      <c r="AO233" s="800"/>
      <c r="AP233" s="800"/>
      <c r="AQ233" s="800"/>
      <c r="AR233" s="800"/>
      <c r="AS233" s="800"/>
      <c r="AT233" s="800"/>
      <c r="AU233" s="800"/>
      <c r="BB233"/>
      <c r="BC233"/>
      <c r="BD233"/>
      <c r="BF233"/>
      <c r="BG233"/>
      <c r="BH233"/>
      <c r="BI233" s="8"/>
      <c r="BJ233" s="8"/>
      <c r="BK233" s="8"/>
      <c r="BL233" s="8"/>
      <c r="BM233" s="14"/>
      <c r="BN233"/>
    </row>
    <row r="234" spans="1:80" s="694" customFormat="1" ht="14">
      <c r="A234" s="691"/>
      <c r="B234" s="693"/>
      <c r="C234" s="693"/>
      <c r="D234" s="757" t="s">
        <v>13</v>
      </c>
      <c r="E234" s="757" t="s">
        <v>14</v>
      </c>
      <c r="F234" s="758"/>
      <c r="G234" s="759"/>
      <c r="H234" s="48"/>
      <c r="I234" s="718"/>
      <c r="J234" s="693"/>
      <c r="K234" s="693"/>
      <c r="M234" s="699" t="s">
        <v>13</v>
      </c>
      <c r="N234" s="699" t="s">
        <v>14</v>
      </c>
      <c r="O234" s="700"/>
      <c r="P234"/>
      <c r="R234" s="48"/>
      <c r="S234" s="693"/>
      <c r="T234" s="693"/>
      <c r="U234" s="693"/>
      <c r="V234" s="699" t="s">
        <v>13</v>
      </c>
      <c r="W234" s="699" t="s">
        <v>55</v>
      </c>
      <c r="X234" s="719"/>
      <c r="Y234" s="700"/>
      <c r="Z234"/>
      <c r="AA234" s="48"/>
      <c r="AB234" s="743"/>
      <c r="AC234" s="743" t="s">
        <v>55</v>
      </c>
      <c r="AD234" s="744" t="s">
        <v>14</v>
      </c>
      <c r="AE234" s="744" t="s">
        <v>131</v>
      </c>
      <c r="AF234" s="744"/>
      <c r="AG234" s="744"/>
      <c r="AH234" s="744"/>
      <c r="AI234" s="744"/>
      <c r="AJ234" s="744"/>
      <c r="AK234" s="744"/>
      <c r="AL234" s="744"/>
      <c r="AM234" s="744"/>
      <c r="AN234" s="744"/>
      <c r="AO234" s="744"/>
      <c r="AP234" s="744"/>
      <c r="AQ234" s="744"/>
      <c r="AR234" s="745"/>
      <c r="AS234"/>
      <c r="AT234"/>
      <c r="AU234"/>
      <c r="AV234"/>
      <c r="BB234"/>
      <c r="BC234"/>
      <c r="BD234"/>
      <c r="BF234"/>
      <c r="BG234"/>
      <c r="BH234"/>
      <c r="BI234" s="8"/>
      <c r="BJ234" s="8"/>
      <c r="BK234" s="8"/>
      <c r="BL234" s="8"/>
      <c r="BM234" s="14"/>
      <c r="BN234"/>
    </row>
    <row r="235" spans="1:80" s="694" customFormat="1" ht="14">
      <c r="A235" s="691"/>
      <c r="B235" s="693"/>
      <c r="C235" s="693"/>
      <c r="D235" s="757" t="s">
        <v>55</v>
      </c>
      <c r="E235" s="757" t="s">
        <v>27</v>
      </c>
      <c r="F235" s="760" t="s">
        <v>47</v>
      </c>
      <c r="G235" s="761" t="s">
        <v>235</v>
      </c>
      <c r="H235" s="48"/>
      <c r="I235" s="718"/>
      <c r="J235" s="693"/>
      <c r="K235" s="693"/>
      <c r="M235" s="699" t="s">
        <v>55</v>
      </c>
      <c r="N235" s="701" t="s">
        <v>27</v>
      </c>
      <c r="O235" s="702" t="s">
        <v>47</v>
      </c>
      <c r="P235"/>
      <c r="R235" s="48"/>
      <c r="S235" s="693"/>
      <c r="T235" s="693"/>
      <c r="U235" s="693"/>
      <c r="V235" s="699" t="s">
        <v>14</v>
      </c>
      <c r="W235" s="701" t="s">
        <v>42</v>
      </c>
      <c r="X235" s="720" t="s">
        <v>48</v>
      </c>
      <c r="Y235" s="702" t="s">
        <v>40</v>
      </c>
      <c r="Z235"/>
      <c r="AA235" s="48"/>
      <c r="AB235" s="774"/>
      <c r="AC235" s="743" t="s">
        <v>42</v>
      </c>
      <c r="AD235" s="744"/>
      <c r="AE235" s="743" t="s">
        <v>892</v>
      </c>
      <c r="AF235" s="743" t="s">
        <v>897</v>
      </c>
      <c r="AG235" s="743" t="s">
        <v>48</v>
      </c>
      <c r="AH235" s="744"/>
      <c r="AI235" s="744"/>
      <c r="AJ235" s="744"/>
      <c r="AK235" s="743" t="s">
        <v>893</v>
      </c>
      <c r="AL235" s="743" t="s">
        <v>898</v>
      </c>
      <c r="AM235" s="743" t="s">
        <v>40</v>
      </c>
      <c r="AN235" s="744"/>
      <c r="AO235" s="743" t="s">
        <v>894</v>
      </c>
      <c r="AP235" s="743" t="s">
        <v>899</v>
      </c>
      <c r="AQ235" s="743" t="s">
        <v>895</v>
      </c>
      <c r="AR235" s="747" t="s">
        <v>900</v>
      </c>
      <c r="AS235"/>
      <c r="AT235"/>
      <c r="AU235"/>
      <c r="AV235"/>
      <c r="BB235"/>
      <c r="BC235"/>
      <c r="BD235"/>
      <c r="BF235"/>
      <c r="BG235"/>
      <c r="BH235"/>
      <c r="BI235" s="8"/>
      <c r="BJ235" s="8"/>
      <c r="BK235" s="8"/>
      <c r="BL235" s="8"/>
      <c r="BM235" s="14"/>
      <c r="BN235" s="14"/>
    </row>
    <row r="236" spans="1:80" s="694" customFormat="1" ht="14">
      <c r="A236" s="691"/>
      <c r="B236" s="693"/>
      <c r="C236" s="693"/>
      <c r="D236" s="757" t="s">
        <v>42</v>
      </c>
      <c r="E236" s="762">
        <v>30</v>
      </c>
      <c r="F236" s="763">
        <v>17</v>
      </c>
      <c r="G236" s="764">
        <v>47</v>
      </c>
      <c r="H236" s="48"/>
      <c r="I236" s="718"/>
      <c r="J236" s="693"/>
      <c r="K236" s="693"/>
      <c r="M236" s="701" t="s">
        <v>42</v>
      </c>
      <c r="N236" s="704">
        <v>0.63829787234042556</v>
      </c>
      <c r="O236" s="705">
        <v>0.36170212765957449</v>
      </c>
      <c r="P236"/>
      <c r="R236" s="48"/>
      <c r="S236" s="693"/>
      <c r="T236" s="693"/>
      <c r="U236" s="693"/>
      <c r="V236" s="701" t="s">
        <v>47</v>
      </c>
      <c r="W236" s="706">
        <v>0.14166666666666666</v>
      </c>
      <c r="X236" s="725">
        <v>0.80833333333333335</v>
      </c>
      <c r="Y236" s="707">
        <v>0.05</v>
      </c>
      <c r="Z236"/>
      <c r="AA236" s="48"/>
      <c r="AB236" s="774"/>
      <c r="AC236" s="743" t="s">
        <v>27</v>
      </c>
      <c r="AD236" s="744"/>
      <c r="AE236" s="774"/>
      <c r="AF236" s="774"/>
      <c r="AG236" s="743" t="s">
        <v>47</v>
      </c>
      <c r="AH236" s="744"/>
      <c r="AI236" s="743" t="s">
        <v>27</v>
      </c>
      <c r="AJ236" s="744"/>
      <c r="AK236" s="774"/>
      <c r="AL236" s="774"/>
      <c r="AM236" s="743" t="s">
        <v>27</v>
      </c>
      <c r="AN236" s="744"/>
      <c r="AO236" s="774"/>
      <c r="AP236" s="774"/>
      <c r="AQ236" s="774"/>
      <c r="AR236" s="775"/>
      <c r="AS236"/>
      <c r="AT236"/>
      <c r="AU236"/>
      <c r="AV236"/>
      <c r="BB236" s="14"/>
      <c r="BC236" s="14"/>
      <c r="BD236" s="14"/>
      <c r="BF236" s="14"/>
      <c r="BG236" s="14"/>
      <c r="BH236" s="14"/>
      <c r="BI236" s="8"/>
      <c r="BJ236" s="8"/>
      <c r="BK236" s="8"/>
      <c r="BL236" s="8"/>
      <c r="BM236" s="14"/>
      <c r="BN236" s="14"/>
    </row>
    <row r="237" spans="1:80" s="694" customFormat="1" ht="14">
      <c r="A237" s="691"/>
      <c r="B237" s="693"/>
      <c r="C237" s="693"/>
      <c r="D237" s="765" t="s">
        <v>48</v>
      </c>
      <c r="E237" s="766">
        <v>161</v>
      </c>
      <c r="F237" s="767">
        <v>97</v>
      </c>
      <c r="G237" s="768">
        <v>258</v>
      </c>
      <c r="H237" s="48"/>
      <c r="I237" s="718"/>
      <c r="J237" s="693"/>
      <c r="K237" s="693"/>
      <c r="M237" s="708" t="s">
        <v>48</v>
      </c>
      <c r="N237" s="709">
        <v>0.62403100775193798</v>
      </c>
      <c r="O237" s="710">
        <v>0.37596899224806202</v>
      </c>
      <c r="P237"/>
      <c r="R237" s="48"/>
      <c r="S237" s="693"/>
      <c r="T237" s="693"/>
      <c r="U237" s="693"/>
      <c r="V237" s="708" t="s">
        <v>27</v>
      </c>
      <c r="W237" s="711">
        <v>0.15</v>
      </c>
      <c r="X237" s="729">
        <v>0.80500000000000005</v>
      </c>
      <c r="Y237" s="712">
        <v>4.4999999999999998E-2</v>
      </c>
      <c r="Z237"/>
      <c r="AA237" s="48"/>
      <c r="AB237" s="743" t="s">
        <v>12</v>
      </c>
      <c r="AC237" s="743" t="s">
        <v>896</v>
      </c>
      <c r="AD237" s="746" t="s">
        <v>901</v>
      </c>
      <c r="AE237" s="774"/>
      <c r="AF237" s="774"/>
      <c r="AG237" s="743" t="s">
        <v>896</v>
      </c>
      <c r="AH237" s="746" t="s">
        <v>901</v>
      </c>
      <c r="AI237" s="743" t="s">
        <v>896</v>
      </c>
      <c r="AJ237" s="746" t="s">
        <v>901</v>
      </c>
      <c r="AK237" s="774"/>
      <c r="AL237" s="774"/>
      <c r="AM237" s="743" t="s">
        <v>896</v>
      </c>
      <c r="AN237" s="746" t="s">
        <v>901</v>
      </c>
      <c r="AO237" s="774"/>
      <c r="AP237" s="774"/>
      <c r="AQ237" s="774"/>
      <c r="AR237" s="775"/>
      <c r="AS237"/>
      <c r="AT237"/>
      <c r="AU237"/>
      <c r="AV237"/>
      <c r="BB237" s="14"/>
      <c r="BC237" s="14"/>
      <c r="BD237" s="14"/>
      <c r="BF237" s="14"/>
      <c r="BG237" s="14"/>
      <c r="BH237" s="14"/>
      <c r="BI237" s="8"/>
      <c r="BJ237" s="8"/>
      <c r="BK237" s="8"/>
      <c r="BL237" s="8"/>
      <c r="BM237" s="14"/>
      <c r="BN237" s="14"/>
    </row>
    <row r="238" spans="1:80" s="694" customFormat="1" ht="14">
      <c r="A238" s="691"/>
      <c r="B238" s="693"/>
      <c r="C238" s="693"/>
      <c r="D238" s="765" t="s">
        <v>40</v>
      </c>
      <c r="E238" s="766">
        <v>9</v>
      </c>
      <c r="F238" s="767">
        <v>6</v>
      </c>
      <c r="G238" s="768">
        <v>15</v>
      </c>
      <c r="H238" s="48"/>
      <c r="I238" s="718"/>
      <c r="J238" s="693"/>
      <c r="K238" s="693"/>
      <c r="M238" s="708" t="s">
        <v>40</v>
      </c>
      <c r="N238" s="709">
        <v>0.6</v>
      </c>
      <c r="O238" s="710">
        <v>0.4</v>
      </c>
      <c r="P238"/>
      <c r="R238" s="48"/>
      <c r="S238" s="693"/>
      <c r="T238" s="693"/>
      <c r="U238" s="693"/>
      <c r="V238" s="713" t="s">
        <v>235</v>
      </c>
      <c r="W238" s="716">
        <v>0.14687500000000001</v>
      </c>
      <c r="X238" s="730">
        <v>0.80625000000000002</v>
      </c>
      <c r="Y238" s="717">
        <v>4.6875E-2</v>
      </c>
      <c r="Z238"/>
      <c r="AA238" s="48"/>
      <c r="AB238" s="743" t="s">
        <v>51</v>
      </c>
      <c r="AC238" s="748">
        <v>3</v>
      </c>
      <c r="AD238" s="1018">
        <v>0.23076923076923078</v>
      </c>
      <c r="AE238" s="748">
        <v>3</v>
      </c>
      <c r="AF238" s="1019">
        <v>0.23076923076923078</v>
      </c>
      <c r="AG238" s="748">
        <v>3</v>
      </c>
      <c r="AH238" s="1018">
        <v>0.23076923076923078</v>
      </c>
      <c r="AI238" s="748">
        <v>6</v>
      </c>
      <c r="AJ238" s="1018">
        <v>0.46153846153846156</v>
      </c>
      <c r="AK238" s="748">
        <v>9</v>
      </c>
      <c r="AL238" s="1019">
        <v>0.69230769230769229</v>
      </c>
      <c r="AM238" s="748">
        <v>1</v>
      </c>
      <c r="AN238" s="1018">
        <v>7.6923076923076927E-2</v>
      </c>
      <c r="AO238" s="748">
        <v>1</v>
      </c>
      <c r="AP238" s="1019">
        <v>7.6923076923076927E-2</v>
      </c>
      <c r="AQ238" s="748">
        <v>13</v>
      </c>
      <c r="AR238" s="1020">
        <v>1</v>
      </c>
      <c r="AS238"/>
      <c r="AT238"/>
      <c r="AU238"/>
      <c r="AV238"/>
      <c r="BB238" s="14"/>
      <c r="BC238" s="14"/>
      <c r="BD238" s="14"/>
      <c r="BF238" s="14"/>
      <c r="BG238" s="14"/>
      <c r="BH238" s="14"/>
      <c r="BI238" s="8"/>
      <c r="BJ238" s="8"/>
      <c r="BK238" s="8"/>
      <c r="BL238" s="8"/>
      <c r="BM238" s="14"/>
      <c r="BN238" s="14"/>
    </row>
    <row r="239" spans="1:80" s="694" customFormat="1" ht="14">
      <c r="A239" s="691"/>
      <c r="B239" s="693"/>
      <c r="C239" s="693"/>
      <c r="D239" s="769" t="s">
        <v>235</v>
      </c>
      <c r="E239" s="770">
        <v>200</v>
      </c>
      <c r="F239" s="771">
        <v>120</v>
      </c>
      <c r="G239" s="772">
        <v>320</v>
      </c>
      <c r="H239" s="48"/>
      <c r="I239" s="718"/>
      <c r="J239" s="693"/>
      <c r="K239" s="693"/>
      <c r="M239" s="713" t="s">
        <v>235</v>
      </c>
      <c r="N239" s="714">
        <v>0.625</v>
      </c>
      <c r="O239" s="715">
        <v>0.375</v>
      </c>
      <c r="P239"/>
      <c r="R239" s="48"/>
      <c r="S239" s="693"/>
      <c r="T239" s="693"/>
      <c r="U239" s="693"/>
      <c r="V239" s="693"/>
      <c r="W239" s="693"/>
      <c r="X239" s="48"/>
      <c r="Y239" s="48"/>
      <c r="Z239" s="48"/>
      <c r="AA239" s="48"/>
      <c r="AB239" s="593" t="s">
        <v>235</v>
      </c>
      <c r="AC239" s="594">
        <v>3</v>
      </c>
      <c r="AD239" s="1015">
        <v>0.23076923076923078</v>
      </c>
      <c r="AE239" s="594">
        <v>3</v>
      </c>
      <c r="AF239" s="1016">
        <v>0.23076923076923078</v>
      </c>
      <c r="AG239" s="594">
        <v>3</v>
      </c>
      <c r="AH239" s="1015">
        <v>0.23076923076923078</v>
      </c>
      <c r="AI239" s="594">
        <v>6</v>
      </c>
      <c r="AJ239" s="1015">
        <v>0.46153846153846156</v>
      </c>
      <c r="AK239" s="594">
        <v>9</v>
      </c>
      <c r="AL239" s="1016">
        <v>0.69230769230769229</v>
      </c>
      <c r="AM239" s="594">
        <v>1</v>
      </c>
      <c r="AN239" s="1015">
        <v>7.6923076923076927E-2</v>
      </c>
      <c r="AO239" s="594">
        <v>1</v>
      </c>
      <c r="AP239" s="1016">
        <v>7.6923076923076927E-2</v>
      </c>
      <c r="AQ239" s="594">
        <v>13</v>
      </c>
      <c r="AR239" s="1017">
        <v>1</v>
      </c>
      <c r="AS239"/>
      <c r="AT239"/>
      <c r="AU239"/>
      <c r="AV239"/>
      <c r="BB239" s="14"/>
      <c r="BC239" s="14"/>
      <c r="BD239" s="14"/>
      <c r="BF239" s="14"/>
      <c r="BG239" s="14"/>
      <c r="BH239" s="14"/>
      <c r="BI239" s="8"/>
      <c r="BJ239" s="8"/>
      <c r="BK239" s="8"/>
      <c r="BL239" s="8"/>
      <c r="BM239" s="14"/>
      <c r="BN239" s="14"/>
    </row>
    <row r="240" spans="1:80" s="694" customFormat="1" ht="14">
      <c r="A240" s="691"/>
      <c r="B240" s="693"/>
      <c r="C240" s="693"/>
      <c r="D240" s="48"/>
      <c r="E240" s="48"/>
      <c r="F240" s="48"/>
      <c r="G240" s="48"/>
      <c r="H240" s="48"/>
      <c r="I240" s="718"/>
      <c r="J240" s="693"/>
      <c r="K240" s="693"/>
      <c r="N240" s="48"/>
      <c r="O240" s="48"/>
      <c r="P240" s="48"/>
      <c r="Q240" s="48"/>
      <c r="R240" s="48"/>
      <c r="S240" s="693"/>
      <c r="T240" s="693"/>
      <c r="U240" s="693"/>
      <c r="V240" s="693"/>
      <c r="W240" s="693"/>
      <c r="X240" s="48"/>
      <c r="Y240" s="48"/>
      <c r="Z240" s="48"/>
      <c r="AA240" s="48"/>
      <c r="AB240"/>
      <c r="AC240"/>
      <c r="AD240"/>
      <c r="AE240"/>
      <c r="AF240"/>
      <c r="AG240"/>
      <c r="AH240"/>
      <c r="AI240"/>
      <c r="AJ240"/>
      <c r="AK240"/>
      <c r="AL240"/>
      <c r="AM240"/>
      <c r="AN240"/>
      <c r="AO240"/>
      <c r="AP240"/>
      <c r="AQ240"/>
      <c r="AR240"/>
      <c r="AS240"/>
      <c r="AT240"/>
      <c r="AU240"/>
      <c r="AV240"/>
      <c r="BB240" s="14"/>
      <c r="BC240" s="14"/>
      <c r="BD240" s="14"/>
      <c r="BF240" s="14"/>
      <c r="BG240" s="14"/>
      <c r="BH240" s="14"/>
      <c r="BI240" s="8"/>
      <c r="BJ240" s="8"/>
      <c r="BK240" s="8"/>
      <c r="BL240" s="8"/>
      <c r="BM240" s="14"/>
      <c r="BN240" s="14"/>
    </row>
    <row r="241" spans="1:80" s="694" customFormat="1" ht="14">
      <c r="A241" s="691"/>
      <c r="B241" s="693"/>
      <c r="C241" s="693"/>
      <c r="D241" s="48"/>
      <c r="E241" s="48"/>
      <c r="F241" s="48"/>
      <c r="G241" s="48"/>
      <c r="H241" s="48"/>
      <c r="I241" s="718"/>
      <c r="J241" s="693"/>
      <c r="K241" s="693"/>
      <c r="N241" s="48"/>
      <c r="O241" s="48"/>
      <c r="P241" s="48"/>
      <c r="Q241" s="48"/>
      <c r="R241" s="48"/>
      <c r="S241" s="693"/>
      <c r="T241" s="693"/>
      <c r="U241" s="693"/>
      <c r="V241" s="693"/>
      <c r="W241" s="693"/>
      <c r="X241" s="48"/>
      <c r="Y241" s="48"/>
      <c r="Z241" s="48"/>
      <c r="AA241" s="48"/>
      <c r="AB241"/>
      <c r="AC241"/>
      <c r="AD241"/>
      <c r="AE241"/>
      <c r="AF241"/>
      <c r="AG241"/>
      <c r="AH241"/>
      <c r="AI241"/>
      <c r="AJ241"/>
      <c r="AK241"/>
      <c r="AL241"/>
      <c r="AM241"/>
      <c r="AN241"/>
      <c r="AO241"/>
      <c r="AP241"/>
      <c r="AQ241"/>
      <c r="AR241"/>
      <c r="AS241"/>
      <c r="AT241"/>
      <c r="AU241"/>
      <c r="AV241"/>
      <c r="BB241" s="14"/>
      <c r="BC241" s="14"/>
      <c r="BD241" s="14"/>
      <c r="BF241" s="14"/>
      <c r="BG241" s="14"/>
      <c r="BH241" s="14"/>
      <c r="BI241" s="8"/>
      <c r="BJ241" s="8"/>
      <c r="BK241" s="8"/>
      <c r="BL241" s="8"/>
      <c r="BM241" s="14"/>
      <c r="BN241" s="14"/>
    </row>
    <row r="242" spans="1:80" s="694" customFormat="1" ht="14">
      <c r="A242" s="691"/>
      <c r="B242" s="693"/>
      <c r="C242" s="693"/>
      <c r="D242" s="48"/>
      <c r="E242" s="48"/>
      <c r="F242" s="48"/>
      <c r="G242" s="48"/>
      <c r="H242" s="48"/>
      <c r="I242" s="718"/>
      <c r="J242" s="693"/>
      <c r="K242" s="693"/>
      <c r="N242" s="48"/>
      <c r="O242" s="48"/>
      <c r="P242" s="48"/>
      <c r="Q242" s="48"/>
      <c r="R242" s="48"/>
      <c r="S242" s="693"/>
      <c r="T242" s="693"/>
      <c r="U242" s="693"/>
      <c r="V242" s="693"/>
      <c r="W242" s="693"/>
      <c r="X242" s="48"/>
      <c r="Y242" s="48"/>
      <c r="Z242" s="48"/>
      <c r="AA242" s="48"/>
      <c r="AB242"/>
      <c r="AC242"/>
      <c r="AD242"/>
      <c r="AE242"/>
      <c r="AF242"/>
      <c r="AG242"/>
      <c r="AH242"/>
      <c r="AI242"/>
      <c r="AJ242"/>
      <c r="AK242"/>
      <c r="AL242"/>
      <c r="AM242"/>
      <c r="AN242"/>
      <c r="AO242"/>
      <c r="AP242"/>
      <c r="AQ242"/>
      <c r="AR242"/>
      <c r="AS242"/>
      <c r="AT242"/>
      <c r="AU242"/>
      <c r="AV242"/>
      <c r="BB242" s="14"/>
      <c r="BC242" s="14"/>
      <c r="BD242" s="14"/>
      <c r="BF242" s="14"/>
      <c r="BG242" s="14"/>
      <c r="BH242" s="14"/>
      <c r="BI242" s="8"/>
      <c r="BJ242" s="8"/>
      <c r="BK242" s="8"/>
      <c r="BL242" s="8"/>
      <c r="BM242" s="14"/>
      <c r="BN242" s="14"/>
    </row>
    <row r="243" spans="1:80" s="694" customFormat="1" ht="14">
      <c r="A243" s="691"/>
      <c r="B243" s="693"/>
      <c r="C243" s="693"/>
      <c r="D243" s="48"/>
      <c r="E243" s="48"/>
      <c r="F243" s="48"/>
      <c r="G243" s="48"/>
      <c r="H243" s="48"/>
      <c r="I243" s="718"/>
      <c r="J243" s="693"/>
      <c r="K243" s="693"/>
      <c r="N243" s="48"/>
      <c r="O243" s="48"/>
      <c r="P243" s="48"/>
      <c r="Q243" s="48"/>
      <c r="R243" s="48"/>
      <c r="S243" s="693"/>
      <c r="T243" s="693"/>
      <c r="U243" s="693"/>
      <c r="V243" s="693"/>
      <c r="W243" s="693"/>
      <c r="X243" s="48"/>
      <c r="Y243" s="48"/>
      <c r="Z243" s="48"/>
      <c r="AA243" s="48"/>
      <c r="AB243"/>
      <c r="AC243"/>
      <c r="AD243"/>
      <c r="AE243"/>
      <c r="AF243"/>
      <c r="AG243"/>
      <c r="AH243"/>
      <c r="AI243"/>
      <c r="AJ243"/>
      <c r="AK243"/>
      <c r="AL243"/>
      <c r="AM243"/>
      <c r="AN243"/>
      <c r="AO243"/>
      <c r="AP243"/>
      <c r="AQ243"/>
      <c r="AR243"/>
      <c r="AS243"/>
      <c r="AT243"/>
      <c r="AU243"/>
      <c r="AV243"/>
      <c r="BB243" s="14"/>
      <c r="BC243" s="14"/>
      <c r="BD243" s="14"/>
      <c r="BF243" s="14"/>
      <c r="BG243" s="14"/>
      <c r="BH243" s="14"/>
      <c r="BI243" s="8"/>
      <c r="BJ243" s="8"/>
      <c r="BK243" s="8"/>
      <c r="BL243" s="8"/>
      <c r="BM243" s="14"/>
      <c r="BN243" s="14"/>
    </row>
    <row r="244" spans="1:80" s="8" customFormat="1" ht="14">
      <c r="A244" s="119"/>
      <c r="B244" s="14"/>
      <c r="C244" s="14"/>
      <c r="D244" s="25"/>
      <c r="E244" s="26"/>
      <c r="F244" s="25"/>
      <c r="G244" s="25"/>
      <c r="H244" s="25"/>
      <c r="I244" s="25"/>
      <c r="J244" s="14"/>
      <c r="K244" s="14"/>
      <c r="N244"/>
      <c r="O244"/>
      <c r="P244"/>
      <c r="Q244"/>
      <c r="R244"/>
      <c r="S244" s="14"/>
      <c r="T244" s="14"/>
      <c r="U244" s="14"/>
      <c r="V244" s="14"/>
      <c r="W244" s="14"/>
      <c r="X244"/>
      <c r="Y244"/>
      <c r="Z244"/>
      <c r="AA244"/>
      <c r="AB244"/>
      <c r="AC244"/>
      <c r="AD244"/>
      <c r="AE244"/>
      <c r="AF244"/>
      <c r="AG244"/>
      <c r="AH244"/>
      <c r="AI244"/>
      <c r="AJ244"/>
      <c r="AK244"/>
      <c r="AL244"/>
      <c r="AM244"/>
      <c r="AN244"/>
      <c r="AO244"/>
      <c r="AP244"/>
      <c r="AQ244"/>
      <c r="AR244"/>
      <c r="AS244"/>
      <c r="AT244"/>
      <c r="AU244"/>
      <c r="AV244"/>
      <c r="AW244" s="694"/>
      <c r="AZ244" s="694"/>
      <c r="BA244" s="694"/>
      <c r="BB244" s="14"/>
      <c r="BC244" s="14"/>
      <c r="BD244" s="14"/>
      <c r="BF244" s="14"/>
      <c r="BG244" s="14"/>
      <c r="BH244" s="14"/>
      <c r="BM244" s="14"/>
      <c r="BN244" s="14"/>
    </row>
    <row r="245" spans="1:80" s="8" customFormat="1" ht="14">
      <c r="A245" s="119"/>
      <c r="B245" s="14"/>
      <c r="C245" s="14"/>
      <c r="G245" s="25"/>
      <c r="H245" s="25"/>
      <c r="I245" s="25"/>
      <c r="J245" s="14"/>
      <c r="K245" s="14"/>
      <c r="N245"/>
      <c r="O245"/>
      <c r="P245"/>
      <c r="Q245"/>
      <c r="R245"/>
      <c r="S245" s="14"/>
      <c r="T245" s="14"/>
      <c r="U245" s="14"/>
      <c r="V245" s="14"/>
      <c r="W245" s="14"/>
      <c r="X245"/>
      <c r="Y245"/>
      <c r="Z245"/>
      <c r="AA245"/>
      <c r="AB245"/>
      <c r="AC245"/>
      <c r="AD245"/>
      <c r="AE245"/>
      <c r="AF245"/>
      <c r="AG245"/>
      <c r="AH245"/>
      <c r="AI245"/>
      <c r="AJ245"/>
      <c r="AK245"/>
      <c r="AL245"/>
      <c r="AM245"/>
      <c r="AN245"/>
      <c r="AO245"/>
      <c r="AP245"/>
      <c r="AQ245"/>
      <c r="AR245"/>
      <c r="AS245"/>
      <c r="AT245"/>
      <c r="AU245"/>
      <c r="AV245"/>
      <c r="AZ245" s="694"/>
      <c r="BA245" s="694"/>
      <c r="BB245" s="14"/>
      <c r="BC245" s="14"/>
      <c r="BD245" s="14"/>
      <c r="BF245" s="14"/>
      <c r="BG245" s="14"/>
      <c r="BH245" s="14"/>
      <c r="BM245" s="14"/>
      <c r="BN245" s="14"/>
    </row>
    <row r="246" spans="1:80" s="8" customFormat="1" ht="14">
      <c r="A246" s="119"/>
      <c r="B246" s="14"/>
      <c r="C246" s="14"/>
      <c r="D246" s="20"/>
      <c r="E246" s="21"/>
      <c r="F246" s="21"/>
      <c r="G246" s="14"/>
      <c r="H246" s="14"/>
      <c r="I246" s="14"/>
      <c r="J246" s="14"/>
      <c r="K246" s="14"/>
      <c r="N246"/>
      <c r="O246"/>
      <c r="P246"/>
      <c r="Q246"/>
      <c r="R246"/>
      <c r="S246" s="14"/>
      <c r="T246" s="14"/>
      <c r="U246" s="14"/>
      <c r="V246" s="14"/>
      <c r="W246" s="14"/>
      <c r="X246"/>
      <c r="Y246"/>
      <c r="Z246"/>
      <c r="AA246"/>
      <c r="AB246" s="327"/>
      <c r="AC246" s="327"/>
      <c r="AD246" s="327"/>
      <c r="AE246" s="327"/>
      <c r="AF246" s="327"/>
      <c r="AG246" s="327"/>
      <c r="AH246" s="327"/>
      <c r="AI246" s="327"/>
      <c r="AJ246" s="327"/>
      <c r="AK246" s="327"/>
      <c r="AL246" s="327"/>
      <c r="AM246" s="327"/>
      <c r="AN246" s="327"/>
      <c r="AO246" s="327"/>
      <c r="AP246" s="327"/>
      <c r="AQ246" s="327"/>
      <c r="AR246" s="327"/>
      <c r="AS246" s="327"/>
      <c r="AT246" s="327"/>
      <c r="AZ246" s="694"/>
      <c r="BA246" s="694"/>
      <c r="BB246" s="14"/>
      <c r="BC246" s="14"/>
      <c r="BD246" s="14"/>
      <c r="BF246" s="14"/>
      <c r="BG246" s="14"/>
      <c r="BH246" s="14"/>
      <c r="BM246" s="14"/>
      <c r="BN246" s="14"/>
      <c r="BT246"/>
      <c r="BU246"/>
      <c r="BV246"/>
      <c r="BW246"/>
      <c r="BX246"/>
      <c r="BY246"/>
      <c r="BZ246"/>
      <c r="CA246"/>
      <c r="CB246"/>
    </row>
    <row r="247" spans="1:80" s="8" customFormat="1" ht="13">
      <c r="A247" s="119"/>
      <c r="B247" s="14"/>
      <c r="C247" s="14"/>
      <c r="D247" s="20"/>
      <c r="E247" s="21"/>
      <c r="F247" s="21"/>
      <c r="G247" s="14"/>
      <c r="H247" s="14"/>
      <c r="I247" s="14"/>
      <c r="J247" s="14"/>
      <c r="K247" s="14"/>
      <c r="N247"/>
      <c r="O247"/>
      <c r="P247"/>
      <c r="Q247"/>
      <c r="R247"/>
      <c r="S247" s="14"/>
      <c r="T247" s="14"/>
      <c r="U247" s="14"/>
      <c r="V247" s="14"/>
      <c r="W247" s="14"/>
      <c r="X247"/>
      <c r="Y247"/>
      <c r="Z247"/>
      <c r="AA247"/>
      <c r="AB247"/>
      <c r="BB247" s="14"/>
      <c r="BC247" s="14"/>
      <c r="BD247" s="14"/>
      <c r="BF247" s="14"/>
      <c r="BG247" s="14"/>
      <c r="BH247" s="14"/>
      <c r="BM247" s="14"/>
      <c r="BN247" s="14"/>
      <c r="BT247"/>
      <c r="BU247"/>
      <c r="BV247"/>
      <c r="BW247"/>
      <c r="BX247"/>
      <c r="BY247"/>
      <c r="BZ247"/>
      <c r="CA247"/>
      <c r="CB247"/>
    </row>
    <row r="248" spans="1:80" s="8" customFormat="1" ht="13">
      <c r="A248" s="119"/>
      <c r="B248" s="14"/>
      <c r="C248" s="14"/>
      <c r="D248" s="20"/>
      <c r="E248" s="21"/>
      <c r="F248" s="21"/>
      <c r="G248" s="14"/>
      <c r="H248" s="14"/>
      <c r="I248" s="14"/>
      <c r="J248" s="14"/>
      <c r="K248" s="14"/>
      <c r="N248"/>
      <c r="O248"/>
      <c r="P248"/>
      <c r="Q248"/>
      <c r="R248"/>
      <c r="S248" s="14"/>
      <c r="T248" s="14"/>
      <c r="U248" s="14"/>
      <c r="V248" s="14"/>
      <c r="W248" s="14"/>
      <c r="X248"/>
      <c r="Y248"/>
      <c r="Z248"/>
      <c r="AA248"/>
      <c r="AB248"/>
      <c r="BB248" s="14"/>
      <c r="BC248" s="14"/>
      <c r="BD248" s="14"/>
      <c r="BF248" s="14"/>
      <c r="BG248" s="14"/>
      <c r="BH248" s="14"/>
      <c r="BM248" s="14"/>
      <c r="BN248" s="14"/>
      <c r="BT248"/>
      <c r="BU248"/>
      <c r="BV248"/>
      <c r="BW248"/>
      <c r="BX248"/>
      <c r="BY248"/>
      <c r="BZ248"/>
      <c r="CA248"/>
      <c r="CB248"/>
    </row>
    <row r="249" spans="1:80" s="8" customFormat="1" ht="13">
      <c r="A249" s="119"/>
      <c r="B249" s="14"/>
      <c r="C249" s="14"/>
      <c r="D249" s="20"/>
      <c r="E249" s="21"/>
      <c r="F249" s="21"/>
      <c r="G249" s="14"/>
      <c r="H249" s="14"/>
      <c r="I249" s="14"/>
      <c r="J249" s="14"/>
      <c r="K249" s="14"/>
      <c r="N249"/>
      <c r="O249"/>
      <c r="P249"/>
      <c r="Q249"/>
      <c r="R249"/>
      <c r="S249" s="14"/>
      <c r="T249" s="14"/>
      <c r="U249" s="14"/>
      <c r="V249" s="14"/>
      <c r="W249" s="14"/>
      <c r="X249"/>
      <c r="Y249"/>
      <c r="Z249"/>
      <c r="AA249"/>
      <c r="AB249"/>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F249" s="14"/>
      <c r="BG249" s="14"/>
      <c r="BH249" s="14"/>
      <c r="BM249" s="14"/>
      <c r="BN249" s="14"/>
      <c r="BT249" s="14"/>
      <c r="BU249" s="14"/>
      <c r="BV249" s="14"/>
      <c r="BW249" s="14"/>
      <c r="BX249" s="14"/>
      <c r="BY249" s="14"/>
      <c r="BZ249" s="14"/>
      <c r="CA249" s="14"/>
      <c r="CB249" s="14"/>
    </row>
    <row r="250" spans="1:80" s="8" customFormat="1" ht="13">
      <c r="A250" s="119"/>
      <c r="B250" s="14"/>
      <c r="C250" s="14"/>
      <c r="D250" s="20"/>
      <c r="E250" s="21"/>
      <c r="F250" s="21"/>
      <c r="G250" s="14"/>
      <c r="H250" s="14"/>
      <c r="I250" s="14"/>
      <c r="J250" s="14"/>
      <c r="K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M250" s="14"/>
      <c r="BN250" s="14"/>
      <c r="BT250" s="14"/>
      <c r="BU250" s="14"/>
      <c r="BV250" s="14"/>
      <c r="BW250" s="14"/>
      <c r="BX250" s="14"/>
      <c r="BY250" s="14"/>
      <c r="BZ250" s="14"/>
      <c r="CA250" s="14"/>
      <c r="CB250" s="14"/>
    </row>
    <row r="251" spans="1:80" s="8" customFormat="1" ht="13">
      <c r="A251" s="119"/>
      <c r="B251" s="14"/>
      <c r="C251" s="14"/>
      <c r="D251" s="20"/>
      <c r="E251" s="21"/>
      <c r="F251" s="21"/>
      <c r="G251" s="14"/>
      <c r="H251" s="14"/>
      <c r="I251" s="14"/>
      <c r="J251" s="14"/>
      <c r="K251" s="14"/>
      <c r="N251" s="14"/>
      <c r="O251" s="14"/>
      <c r="P251" s="14"/>
      <c r="Q251" s="14"/>
      <c r="R251" s="14"/>
      <c r="S251" s="14"/>
      <c r="T251" s="14"/>
      <c r="U251" s="14"/>
      <c r="V251" s="14"/>
      <c r="W251" s="14"/>
      <c r="X251" s="14"/>
      <c r="Y251" s="14"/>
      <c r="Z251" s="14"/>
      <c r="AA251" s="14"/>
      <c r="AB251" s="14"/>
      <c r="AC251" s="14"/>
      <c r="AD251" s="14"/>
      <c r="AE251" s="14"/>
      <c r="AF251" s="14"/>
      <c r="AG251" s="14"/>
      <c r="BT251" s="14"/>
      <c r="BU251" s="14"/>
      <c r="BV251" s="14"/>
      <c r="BW251" s="14"/>
      <c r="BX251" s="14"/>
      <c r="BY251" s="14"/>
      <c r="BZ251" s="14"/>
      <c r="CA251" s="14"/>
      <c r="CB251" s="14"/>
    </row>
    <row r="252" spans="1:80" s="8" customFormat="1" ht="13">
      <c r="A252" s="119"/>
      <c r="B252" s="14"/>
      <c r="C252" s="14"/>
      <c r="D252" s="20"/>
      <c r="E252" s="21"/>
      <c r="F252" s="21"/>
      <c r="G252" s="14"/>
      <c r="H252" s="14"/>
      <c r="I252" s="14"/>
      <c r="J252" s="14"/>
      <c r="K252" s="14"/>
      <c r="N252" s="14"/>
      <c r="O252" s="14"/>
      <c r="P252" s="14"/>
      <c r="Q252" s="14"/>
      <c r="R252" s="14"/>
      <c r="S252" s="14"/>
      <c r="T252" s="14"/>
      <c r="U252" s="14"/>
      <c r="V252" s="14"/>
      <c r="W252" s="14"/>
      <c r="X252" s="14"/>
      <c r="Y252" s="14"/>
      <c r="Z252" s="14"/>
      <c r="AA252" s="14"/>
      <c r="AB252" s="14"/>
      <c r="AC252" s="14"/>
      <c r="AD252" s="14"/>
      <c r="AE252" s="14"/>
      <c r="AF252" s="14"/>
      <c r="AG252" s="14"/>
      <c r="BT252" s="14"/>
      <c r="BU252" s="14"/>
      <c r="BV252" s="14"/>
      <c r="BW252" s="14"/>
      <c r="BX252" s="14"/>
      <c r="BY252" s="14"/>
      <c r="BZ252" s="14"/>
      <c r="CA252" s="14"/>
      <c r="CB252" s="14"/>
    </row>
    <row r="253" spans="1:80" s="8" customFormat="1" ht="13">
      <c r="A253" s="119"/>
      <c r="B253" s="14"/>
      <c r="C253" s="14"/>
      <c r="D253" s="20"/>
      <c r="E253" s="21"/>
      <c r="F253" s="21"/>
      <c r="G253" s="14"/>
      <c r="H253" s="14"/>
      <c r="I253" s="14"/>
      <c r="J253" s="14"/>
      <c r="K253" s="14"/>
      <c r="N253" s="14"/>
      <c r="O253" s="14"/>
      <c r="P253" s="14"/>
      <c r="Q253" s="14"/>
      <c r="R253" s="14"/>
      <c r="S253" s="14"/>
      <c r="T253" s="14"/>
      <c r="U253" s="14"/>
      <c r="V253" s="14"/>
      <c r="W253" s="14"/>
      <c r="X253" s="14"/>
      <c r="Y253" s="14"/>
      <c r="Z253" s="14"/>
      <c r="AA253" s="14"/>
      <c r="AB253" s="14"/>
      <c r="AC253" s="14"/>
      <c r="AD253" s="14"/>
      <c r="AE253" s="14"/>
      <c r="AF253" s="14"/>
      <c r="AG253" s="14"/>
      <c r="BT253" s="14"/>
      <c r="BU253" s="14"/>
      <c r="BV253" s="14"/>
      <c r="BW253" s="14"/>
      <c r="BX253" s="14"/>
      <c r="BY253" s="14"/>
      <c r="BZ253" s="14"/>
      <c r="CA253" s="14"/>
      <c r="CB253" s="14"/>
    </row>
    <row r="254" spans="1:80" s="8" customFormat="1" ht="13">
      <c r="A254" s="119"/>
      <c r="B254" s="14"/>
      <c r="C254" s="14"/>
      <c r="D254" s="20"/>
      <c r="E254" s="21"/>
      <c r="F254" s="21"/>
      <c r="G254" s="14"/>
      <c r="H254" s="14"/>
      <c r="I254" s="14"/>
      <c r="J254" s="14"/>
      <c r="K254" s="14"/>
      <c r="N254" s="14"/>
      <c r="O254" s="14"/>
      <c r="P254" s="14"/>
      <c r="Q254" s="14"/>
      <c r="R254" s="14"/>
      <c r="S254" s="14"/>
      <c r="T254" s="14"/>
      <c r="U254" s="14"/>
      <c r="V254" s="14"/>
      <c r="W254" s="14"/>
      <c r="X254" s="14"/>
      <c r="Y254" s="14"/>
      <c r="Z254" s="14"/>
      <c r="AA254" s="14"/>
      <c r="AB254" s="14"/>
      <c r="AC254" s="14"/>
      <c r="AD254" s="14"/>
      <c r="AE254" s="14"/>
      <c r="AF254" s="14"/>
      <c r="AG254" s="14"/>
      <c r="BT254" s="14"/>
      <c r="BU254" s="14"/>
      <c r="BV254" s="14"/>
      <c r="BW254" s="14"/>
      <c r="BX254" s="14"/>
      <c r="BY254" s="14"/>
      <c r="BZ254" s="14"/>
      <c r="CA254" s="14"/>
      <c r="CB254" s="14"/>
    </row>
    <row r="255" spans="1:80" s="8" customFormat="1" ht="13">
      <c r="A255" s="119"/>
      <c r="B255" s="14"/>
      <c r="C255" s="14"/>
      <c r="D255" s="20"/>
      <c r="E255" s="21"/>
      <c r="F255" s="21"/>
      <c r="G255" s="14"/>
      <c r="H255" s="14"/>
      <c r="I255" s="14"/>
      <c r="J255" s="14"/>
      <c r="K255" s="14"/>
      <c r="N255" s="14"/>
      <c r="O255" s="14"/>
      <c r="P255" s="14"/>
      <c r="Q255" s="14"/>
      <c r="R255" s="14"/>
      <c r="S255" s="14"/>
      <c r="T255" s="14"/>
      <c r="U255" s="14"/>
      <c r="V255" s="14"/>
      <c r="W255" s="14"/>
      <c r="X255" s="14"/>
      <c r="Y255" s="14"/>
      <c r="Z255" s="14"/>
      <c r="AA255" s="14"/>
      <c r="AB255" s="14"/>
      <c r="AC255" s="14"/>
      <c r="AD255" s="14"/>
      <c r="AE255" s="14"/>
      <c r="AF255" s="14"/>
      <c r="AG255" s="14"/>
      <c r="BT255" s="14"/>
      <c r="BU255" s="14"/>
      <c r="BV255" s="14"/>
      <c r="BW255" s="14"/>
      <c r="BX255" s="14"/>
      <c r="BY255" s="14"/>
      <c r="BZ255" s="14"/>
      <c r="CA255" s="14"/>
      <c r="CB255" s="14"/>
    </row>
    <row r="256" spans="1:80" s="8" customFormat="1" ht="13">
      <c r="A256" s="119"/>
      <c r="B256" s="14"/>
      <c r="C256" s="14"/>
      <c r="D256" s="20"/>
      <c r="E256" s="21"/>
      <c r="F256" s="21"/>
      <c r="G256" s="14"/>
      <c r="H256" s="14"/>
      <c r="I256" s="14"/>
      <c r="J256" s="14"/>
      <c r="K256" s="14"/>
      <c r="N256" s="14"/>
      <c r="O256" s="14"/>
      <c r="P256" s="14"/>
      <c r="Q256" s="14"/>
      <c r="R256" s="14"/>
      <c r="S256" s="14"/>
      <c r="T256" s="14"/>
      <c r="U256" s="14"/>
      <c r="V256" s="14"/>
      <c r="W256" s="14"/>
      <c r="X256" s="14"/>
      <c r="Y256" s="14"/>
      <c r="Z256" s="14"/>
      <c r="AA256" s="14"/>
      <c r="AB256" s="14"/>
      <c r="AC256" s="14"/>
      <c r="AD256" s="14"/>
      <c r="AE256" s="14"/>
      <c r="AF256" s="14"/>
      <c r="AG256" s="14"/>
      <c r="BT256" s="14"/>
      <c r="BU256" s="14"/>
      <c r="BV256" s="14"/>
      <c r="BW256" s="14"/>
      <c r="BX256" s="14"/>
      <c r="BY256" s="14"/>
      <c r="BZ256" s="14"/>
      <c r="CA256" s="14"/>
      <c r="CB256" s="14"/>
    </row>
    <row r="257" spans="1:80" s="8" customFormat="1" ht="13">
      <c r="A257" s="119"/>
      <c r="B257" s="14"/>
      <c r="C257" s="14"/>
      <c r="D257" s="20"/>
      <c r="E257" s="21"/>
      <c r="F257" s="21"/>
      <c r="G257" s="14"/>
      <c r="H257" s="14"/>
      <c r="I257" s="14"/>
      <c r="J257" s="14"/>
      <c r="K257" s="14"/>
      <c r="N257" s="14"/>
      <c r="O257" s="14"/>
      <c r="P257" s="14"/>
      <c r="Q257" s="14"/>
      <c r="R257" s="14"/>
      <c r="S257" s="14"/>
      <c r="T257" s="14"/>
      <c r="U257" s="14"/>
      <c r="V257" s="14"/>
      <c r="W257" s="14"/>
      <c r="X257" s="14"/>
      <c r="Y257" s="14"/>
      <c r="Z257" s="14"/>
      <c r="AA257" s="14"/>
      <c r="AB257" s="14"/>
      <c r="AC257" s="14"/>
      <c r="AD257" s="14"/>
      <c r="AE257" s="14"/>
      <c r="AF257" s="14"/>
      <c r="AG257" s="14"/>
      <c r="BT257" s="14"/>
      <c r="BU257" s="14"/>
      <c r="BV257" s="14"/>
      <c r="BW257" s="14"/>
      <c r="BX257" s="14"/>
      <c r="BY257" s="14"/>
      <c r="BZ257" s="14"/>
      <c r="CA257" s="14"/>
      <c r="CB257" s="14"/>
    </row>
    <row r="258" spans="1:80" s="8" customFormat="1" ht="13">
      <c r="A258" s="119"/>
      <c r="B258" s="14"/>
      <c r="C258" s="14"/>
      <c r="D258" s="20"/>
      <c r="E258" s="21"/>
      <c r="F258" s="21"/>
      <c r="G258" s="14"/>
      <c r="H258" s="14"/>
      <c r="I258" s="14"/>
      <c r="J258" s="14"/>
      <c r="K258" s="14"/>
      <c r="N258" s="14"/>
      <c r="O258" s="14"/>
      <c r="P258" s="14"/>
      <c r="Q258" s="14"/>
      <c r="R258" s="14"/>
      <c r="S258" s="14"/>
      <c r="T258" s="14"/>
      <c r="U258" s="14"/>
      <c r="V258" s="14"/>
      <c r="W258" s="14"/>
      <c r="X258" s="14"/>
      <c r="Y258" s="14"/>
      <c r="Z258" s="14"/>
      <c r="AA258" s="14"/>
      <c r="AB258" s="14"/>
      <c r="AC258" s="14"/>
      <c r="AD258" s="14"/>
      <c r="AE258" s="14"/>
      <c r="AF258" s="14"/>
      <c r="AG258" s="14"/>
      <c r="BT258" s="14"/>
      <c r="BU258" s="14"/>
      <c r="BV258" s="14"/>
      <c r="BW258" s="14"/>
      <c r="BX258" s="14"/>
      <c r="BY258" s="14"/>
      <c r="BZ258" s="14"/>
      <c r="CA258" s="14"/>
      <c r="CB258" s="14"/>
    </row>
    <row r="259" spans="1:80" s="8" customFormat="1" ht="13">
      <c r="A259" s="119"/>
      <c r="B259" s="14"/>
      <c r="C259" s="14"/>
      <c r="D259" s="22"/>
      <c r="E259" s="16"/>
      <c r="F259" s="14"/>
      <c r="G259" s="14"/>
      <c r="H259" s="14"/>
      <c r="I259" s="14"/>
      <c r="J259" s="14"/>
      <c r="K259" s="14"/>
      <c r="N259" s="14"/>
      <c r="O259" s="14"/>
      <c r="P259" s="14"/>
      <c r="Q259" s="14"/>
      <c r="R259" s="14"/>
      <c r="S259" s="14"/>
      <c r="T259" s="14"/>
      <c r="U259" s="14"/>
      <c r="V259" s="14"/>
      <c r="W259" s="14"/>
      <c r="X259" s="14"/>
      <c r="Y259" s="14"/>
      <c r="Z259" s="14"/>
      <c r="AA259" s="14"/>
      <c r="AB259" s="14"/>
      <c r="AC259" s="14"/>
      <c r="AD259" s="14"/>
      <c r="AE259" s="14"/>
      <c r="AF259" s="14"/>
      <c r="AG259" s="14"/>
      <c r="BT259" s="14"/>
      <c r="BU259" s="14"/>
      <c r="BV259" s="14"/>
      <c r="BW259" s="14"/>
      <c r="BX259" s="14"/>
      <c r="BY259" s="14"/>
      <c r="BZ259" s="14"/>
      <c r="CA259" s="14"/>
      <c r="CB259" s="14"/>
    </row>
    <row r="260" spans="1:80" s="8" customFormat="1" ht="13">
      <c r="A260" s="119"/>
      <c r="B260" s="14"/>
      <c r="C260" s="14"/>
      <c r="D260" s="14"/>
      <c r="E260" s="16"/>
      <c r="F260" s="14"/>
      <c r="G260" s="14"/>
      <c r="H260" s="14"/>
      <c r="I260" s="14"/>
      <c r="J260" s="14"/>
      <c r="K260" s="14"/>
      <c r="N260" s="14"/>
      <c r="O260" s="14"/>
      <c r="P260" s="14"/>
      <c r="Q260" s="14"/>
      <c r="R260" s="14"/>
      <c r="S260" s="14"/>
      <c r="T260" s="14"/>
      <c r="U260" s="14"/>
      <c r="V260" s="14"/>
      <c r="W260" s="14"/>
      <c r="X260" s="14"/>
      <c r="Y260" s="14"/>
      <c r="Z260" s="14"/>
      <c r="AA260" s="14"/>
      <c r="AB260" s="14"/>
      <c r="AC260" s="14"/>
      <c r="AD260" s="14"/>
      <c r="AE260" s="14"/>
      <c r="AF260" s="14"/>
      <c r="AG260" s="14"/>
      <c r="BT260" s="14"/>
      <c r="BU260" s="14"/>
      <c r="BV260" s="14"/>
      <c r="BW260" s="14"/>
      <c r="BX260" s="14"/>
      <c r="BY260" s="14"/>
      <c r="BZ260" s="14"/>
      <c r="CA260" s="14"/>
      <c r="CB260" s="14"/>
    </row>
    <row r="261" spans="1:80" s="8" customFormat="1" ht="13">
      <c r="A261" s="119"/>
      <c r="B261" s="6"/>
      <c r="C261" s="14"/>
      <c r="D261" s="14"/>
      <c r="E261" s="16"/>
      <c r="F261" s="14"/>
      <c r="G261" s="14"/>
      <c r="H261" s="14"/>
      <c r="I261" s="14"/>
      <c r="J261" s="14"/>
      <c r="K261" s="14"/>
      <c r="N261" s="14"/>
      <c r="O261" s="14"/>
      <c r="P261" s="14"/>
      <c r="Q261" s="14"/>
      <c r="R261" s="14"/>
      <c r="S261" s="14"/>
      <c r="T261" s="14"/>
      <c r="U261" s="14"/>
      <c r="V261" s="14"/>
      <c r="W261" s="14"/>
      <c r="X261" s="14"/>
      <c r="Y261" s="14"/>
      <c r="Z261" s="14"/>
      <c r="AA261" s="14"/>
      <c r="AB261" s="14"/>
      <c r="AC261" s="14"/>
      <c r="AD261" s="14"/>
      <c r="AE261" s="14"/>
      <c r="AF261" s="14"/>
      <c r="AG261" s="14"/>
      <c r="BT261" s="14"/>
      <c r="BU261" s="14"/>
      <c r="BV261" s="14"/>
      <c r="BW261" s="14"/>
      <c r="BX261" s="14"/>
      <c r="BY261" s="14"/>
      <c r="BZ261" s="14"/>
      <c r="CA261" s="14"/>
      <c r="CB261" s="14"/>
    </row>
    <row r="262" spans="1:80" s="8" customFormat="1" ht="59" customHeight="1">
      <c r="A262" s="119"/>
      <c r="B262" s="23"/>
      <c r="C262" s="23"/>
      <c r="D262" s="1407" t="s">
        <v>472</v>
      </c>
      <c r="E262" s="1408"/>
      <c r="F262" s="1409"/>
      <c r="G262" s="1410" t="s">
        <v>477</v>
      </c>
      <c r="H262" s="1411"/>
      <c r="I262" s="1411"/>
      <c r="J262" s="1411"/>
      <c r="K262" s="1411"/>
      <c r="L262" s="1411"/>
      <c r="M262" s="1411"/>
      <c r="N262" s="1411"/>
      <c r="O262" s="1411"/>
      <c r="P262" s="1411"/>
      <c r="Q262" s="1411"/>
      <c r="R262" s="1411"/>
      <c r="S262" s="1411"/>
      <c r="T262" s="1411"/>
      <c r="U262" s="1411"/>
      <c r="V262" s="1411"/>
      <c r="W262" s="1411"/>
      <c r="X262" s="1411"/>
      <c r="Y262" s="1411"/>
      <c r="Z262" s="1411"/>
      <c r="AA262" s="1411"/>
      <c r="AB262" s="1411"/>
      <c r="AC262" s="1412"/>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Q262" s="14"/>
      <c r="BR262" s="14"/>
      <c r="BS262" s="14"/>
      <c r="BT262" s="14"/>
      <c r="BU262" s="14"/>
      <c r="BV262" s="14"/>
      <c r="BW262" s="14"/>
      <c r="BX262" s="14"/>
      <c r="BY262" s="14"/>
      <c r="BZ262" s="14"/>
      <c r="CA262" s="14"/>
      <c r="CB262" s="14"/>
    </row>
    <row r="263" spans="1:80" s="8" customFormat="1" ht="53" customHeight="1">
      <c r="A263" s="119"/>
      <c r="B263" s="6"/>
      <c r="C263" s="14"/>
      <c r="D263" s="1407" t="s">
        <v>473</v>
      </c>
      <c r="E263" s="1408"/>
      <c r="F263" s="1409"/>
      <c r="G263" s="1410" t="s">
        <v>478</v>
      </c>
      <c r="H263" s="1411"/>
      <c r="I263" s="1411"/>
      <c r="J263" s="1411"/>
      <c r="K263" s="1411"/>
      <c r="L263" s="1411"/>
      <c r="M263" s="1411"/>
      <c r="N263" s="1411"/>
      <c r="O263" s="1411"/>
      <c r="P263" s="1411"/>
      <c r="Q263" s="1411"/>
      <c r="R263" s="1411"/>
      <c r="S263" s="1411"/>
      <c r="T263" s="1411"/>
      <c r="U263" s="1411"/>
      <c r="V263" s="1411"/>
      <c r="W263" s="1411"/>
      <c r="X263" s="1411"/>
      <c r="Y263" s="1411"/>
      <c r="Z263" s="1411"/>
      <c r="AA263" s="1411"/>
      <c r="AB263" s="1411"/>
      <c r="AC263" s="1412"/>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Q263" s="14"/>
      <c r="BR263" s="14"/>
      <c r="BS263" s="14"/>
      <c r="BT263" s="14"/>
      <c r="BU263" s="14"/>
      <c r="BV263" s="14"/>
      <c r="BW263" s="14"/>
      <c r="BX263" s="14"/>
      <c r="BY263" s="14"/>
      <c r="BZ263" s="14"/>
      <c r="CA263" s="14"/>
      <c r="CB263" s="14"/>
    </row>
    <row r="265" spans="1:80" ht="11" customHeight="1">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c r="AE265" s="140"/>
      <c r="AF265" s="140"/>
      <c r="AG265" s="140"/>
    </row>
    <row r="267" spans="1:80" s="8" customFormat="1" ht="20">
      <c r="A267" s="119"/>
      <c r="B267" s="3"/>
      <c r="C267" s="430" t="s">
        <v>84</v>
      </c>
      <c r="D267" s="14"/>
      <c r="E267" s="14"/>
      <c r="F267" s="14"/>
      <c r="G267" s="14"/>
      <c r="H267" s="14"/>
      <c r="I267" s="14"/>
      <c r="J267" s="14"/>
      <c r="K267" s="14"/>
      <c r="L267" s="14"/>
      <c r="M267" s="14"/>
      <c r="N267" s="14"/>
      <c r="O267" s="14"/>
      <c r="P267" s="14"/>
      <c r="Q267" s="14"/>
      <c r="R267" s="14"/>
      <c r="S267" s="14"/>
      <c r="T267" s="14"/>
      <c r="U267" s="14"/>
      <c r="V267" s="14"/>
      <c r="W267" s="14"/>
      <c r="X267" s="14"/>
      <c r="Y267" s="800"/>
      <c r="Z267" s="800"/>
      <c r="AA267" s="800"/>
      <c r="AB267" s="800"/>
      <c r="AC267" s="800"/>
      <c r="AD267" s="800"/>
      <c r="AE267" s="800"/>
      <c r="AF267" s="800"/>
      <c r="AG267" s="800"/>
      <c r="AH267" s="800"/>
      <c r="AI267" s="800"/>
      <c r="AJ267" s="800"/>
    </row>
    <row r="268" spans="1:80" s="8" customFormat="1" ht="9.75" customHeight="1">
      <c r="A268" s="119"/>
      <c r="B268" s="3"/>
      <c r="C268" s="6"/>
      <c r="D268" s="14"/>
      <c r="E268" s="14"/>
      <c r="F268" s="14"/>
      <c r="G268" s="14"/>
      <c r="H268" s="14"/>
      <c r="I268" s="14"/>
      <c r="J268" s="14"/>
      <c r="K268" s="14"/>
      <c r="L268" s="14"/>
      <c r="M268" s="14"/>
      <c r="N268" s="14"/>
      <c r="O268" s="14"/>
      <c r="P268" s="14"/>
      <c r="Q268" s="14"/>
      <c r="R268" s="14"/>
      <c r="S268" s="14"/>
      <c r="T268" s="14"/>
      <c r="U268" s="14"/>
      <c r="V268" s="14"/>
      <c r="W268" s="14"/>
      <c r="X268" s="14"/>
      <c r="Y268" s="800"/>
      <c r="Z268" s="800"/>
      <c r="AA268" s="800"/>
      <c r="AB268" s="800"/>
      <c r="AC268" s="800"/>
      <c r="AD268" s="800"/>
      <c r="AE268" s="800"/>
      <c r="AF268" s="800"/>
      <c r="AG268" s="800"/>
      <c r="AH268" s="800"/>
      <c r="AI268" s="800"/>
      <c r="AJ268" s="800"/>
    </row>
    <row r="269" spans="1:80" s="8" customFormat="1" ht="13">
      <c r="A269" s="119"/>
      <c r="B269" s="3"/>
      <c r="C269" s="1405" t="s">
        <v>216</v>
      </c>
      <c r="D269" s="1406"/>
      <c r="E269" s="1406"/>
      <c r="F269" s="14"/>
      <c r="G269" s="14"/>
      <c r="H269" s="14"/>
      <c r="I269" s="14"/>
      <c r="J269" s="14"/>
      <c r="K269" s="14"/>
      <c r="L269" s="14"/>
      <c r="M269" s="14"/>
      <c r="N269" s="14"/>
      <c r="O269" s="14"/>
      <c r="P269" s="14"/>
      <c r="Q269" s="14"/>
      <c r="R269" s="14"/>
      <c r="S269" s="14"/>
      <c r="T269" s="14"/>
      <c r="U269" s="14"/>
      <c r="V269" s="14"/>
      <c r="W269" s="14"/>
      <c r="X269" s="14"/>
      <c r="Y269" s="800"/>
      <c r="Z269" s="800"/>
      <c r="AA269" s="800"/>
      <c r="AB269" s="800"/>
      <c r="AC269" s="800"/>
      <c r="AD269" s="800"/>
      <c r="AE269" s="800"/>
      <c r="AF269" s="800"/>
      <c r="AG269" s="800"/>
      <c r="AH269" s="800"/>
      <c r="AI269" s="800"/>
      <c r="AJ269" s="800"/>
    </row>
    <row r="270" spans="1:80" s="8" customFormat="1" ht="13">
      <c r="A270" s="119"/>
      <c r="B270" s="3"/>
      <c r="C270" s="6" t="s">
        <v>189</v>
      </c>
      <c r="D270" s="14"/>
      <c r="E270" s="14"/>
      <c r="F270" s="14"/>
      <c r="G270" s="14"/>
      <c r="H270" s="14"/>
      <c r="I270" s="14"/>
      <c r="J270" s="14"/>
      <c r="K270" s="14"/>
      <c r="L270" s="14"/>
      <c r="M270" s="14"/>
      <c r="N270" s="14"/>
      <c r="O270" s="14"/>
      <c r="P270" s="14"/>
      <c r="Q270" s="14"/>
      <c r="R270" s="14"/>
      <c r="S270" s="14"/>
      <c r="T270" s="14"/>
      <c r="U270" s="14"/>
      <c r="V270" s="14"/>
      <c r="W270" s="14"/>
      <c r="X270" s="14"/>
      <c r="Y270" s="800"/>
      <c r="Z270" s="800"/>
      <c r="AA270" s="800"/>
      <c r="AB270" s="800"/>
      <c r="AC270" s="800"/>
      <c r="AD270" s="800"/>
      <c r="AE270" s="800"/>
      <c r="AF270" s="800"/>
      <c r="AG270" s="800"/>
      <c r="AH270" s="800"/>
      <c r="AI270" s="800"/>
      <c r="AJ270" s="800"/>
    </row>
    <row r="271" spans="1:80" s="8" customFormat="1" ht="13">
      <c r="A271" s="119"/>
      <c r="B271" s="3"/>
      <c r="C271" s="6"/>
      <c r="D271" s="14"/>
      <c r="E271" s="14"/>
      <c r="F271" s="14"/>
      <c r="G271" s="14"/>
      <c r="H271" s="14"/>
      <c r="I271" s="14"/>
      <c r="J271" s="14"/>
      <c r="K271" s="14"/>
      <c r="L271" s="14"/>
      <c r="M271" s="14"/>
      <c r="N271" s="14"/>
      <c r="O271" s="14"/>
      <c r="P271" s="14"/>
      <c r="Q271" s="14"/>
      <c r="R271" s="14"/>
      <c r="S271" s="14"/>
      <c r="T271" s="14"/>
      <c r="U271" s="14"/>
      <c r="V271" s="14"/>
      <c r="W271" s="14"/>
      <c r="X271" s="14"/>
      <c r="Y271" s="800"/>
      <c r="Z271" s="800"/>
      <c r="AA271" s="800"/>
      <c r="AB271" s="800"/>
      <c r="AC271" s="800"/>
      <c r="AD271" s="800"/>
      <c r="AE271" s="800"/>
      <c r="AF271" s="800"/>
      <c r="AG271" s="800"/>
      <c r="AH271" s="800"/>
      <c r="AI271" s="800"/>
      <c r="AJ271" s="800"/>
    </row>
    <row r="272" spans="1:80" s="8" customFormat="1" ht="8.25" customHeight="1">
      <c r="A272" s="119"/>
      <c r="B272" s="3"/>
      <c r="C272" s="6"/>
      <c r="D272" s="14"/>
      <c r="E272" s="14"/>
      <c r="F272" s="14"/>
      <c r="G272" s="14"/>
      <c r="H272" s="14"/>
      <c r="I272" s="14"/>
      <c r="J272" s="14"/>
      <c r="K272" s="14"/>
      <c r="L272" s="14"/>
      <c r="M272" s="14"/>
      <c r="N272" s="14"/>
      <c r="O272" s="14"/>
      <c r="P272" s="14"/>
      <c r="Q272" s="14"/>
      <c r="R272" s="14"/>
      <c r="S272" s="14"/>
      <c r="T272" s="14"/>
      <c r="U272" s="14"/>
      <c r="V272" s="14"/>
      <c r="W272" s="14"/>
      <c r="X272" s="14"/>
      <c r="Y272" s="800"/>
      <c r="Z272" s="800"/>
      <c r="AA272" s="800"/>
      <c r="AB272" s="800"/>
      <c r="AC272" s="800"/>
      <c r="AD272" s="800"/>
      <c r="AE272" s="800"/>
      <c r="AF272" s="800"/>
      <c r="AG272" s="800"/>
      <c r="AH272" s="800"/>
      <c r="AI272" s="800"/>
      <c r="AJ272" s="800"/>
    </row>
    <row r="273" spans="1:64" s="8" customFormat="1" ht="12.75" customHeight="1">
      <c r="A273" s="119"/>
      <c r="B273" s="3"/>
      <c r="C273" s="77"/>
      <c r="D273" s="14"/>
      <c r="E273" s="14"/>
      <c r="F273" s="14"/>
      <c r="G273" s="14"/>
      <c r="H273" s="14"/>
      <c r="I273" s="14"/>
      <c r="J273" s="14"/>
      <c r="K273" s="14"/>
      <c r="L273" s="14"/>
      <c r="M273" s="14"/>
      <c r="N273" s="14"/>
      <c r="O273" s="14"/>
      <c r="P273" s="14"/>
      <c r="Q273" s="14"/>
      <c r="R273" s="14"/>
      <c r="S273" s="14"/>
      <c r="T273" s="14"/>
      <c r="U273" s="14"/>
      <c r="V273" s="14"/>
      <c r="W273" s="14"/>
      <c r="X273" s="14"/>
      <c r="Y273" s="800"/>
      <c r="Z273" s="800"/>
      <c r="AA273" s="800"/>
      <c r="AB273" s="800"/>
      <c r="AC273" s="800"/>
      <c r="AD273" s="800"/>
      <c r="AE273" s="800"/>
      <c r="AF273" s="800"/>
      <c r="AG273" s="800"/>
      <c r="AH273" s="800"/>
      <c r="AI273" s="800"/>
      <c r="AJ273" s="800"/>
    </row>
    <row r="274" spans="1:64" s="8" customFormat="1" ht="15" customHeight="1">
      <c r="A274" s="119"/>
      <c r="B274" s="3"/>
      <c r="C274" s="6"/>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row>
    <row r="275" spans="1:64" s="8" customFormat="1">
      <c r="A275" s="119"/>
      <c r="B275" s="3"/>
      <c r="C275" s="320"/>
      <c r="D275" s="319" t="s">
        <v>69</v>
      </c>
      <c r="E275" s="320"/>
      <c r="F275" s="1097" t="s">
        <v>432</v>
      </c>
      <c r="G275" s="326"/>
      <c r="H275" s="326"/>
      <c r="I275" s="326"/>
      <c r="J275" s="320"/>
      <c r="K275" s="320"/>
      <c r="L275" s="320"/>
      <c r="M275"/>
      <c r="N275" s="6" t="s">
        <v>70</v>
      </c>
      <c r="P275" s="16"/>
      <c r="Q275" s="14"/>
      <c r="R275" s="14"/>
      <c r="S275" s="14"/>
      <c r="T275" s="14"/>
      <c r="U275" s="14"/>
      <c r="V275" s="6" t="s">
        <v>219</v>
      </c>
      <c r="W275" s="14"/>
      <c r="X275" s="14"/>
      <c r="Z275" s="14"/>
      <c r="AA275" s="14"/>
      <c r="AC275"/>
      <c r="BJ275" s="120"/>
      <c r="BK275" s="120"/>
      <c r="BL275" s="120"/>
    </row>
    <row r="276" spans="1:64" s="829" customFormat="1" ht="4.5" customHeight="1">
      <c r="A276" s="124"/>
      <c r="B276" s="89"/>
      <c r="C276" s="89"/>
      <c r="D276" s="830"/>
      <c r="E276" s="240"/>
      <c r="F276" s="240"/>
      <c r="G276" s="240"/>
      <c r="H276" s="240"/>
      <c r="I276" s="240"/>
      <c r="J276" s="89"/>
      <c r="K276" s="89"/>
      <c r="L276" s="89"/>
      <c r="M276" s="89"/>
      <c r="N276" s="89"/>
      <c r="O276" s="831"/>
      <c r="P276" s="89"/>
      <c r="Q276" s="89"/>
      <c r="R276" s="89"/>
      <c r="S276" s="89"/>
      <c r="T276" s="89"/>
      <c r="U276" s="89"/>
      <c r="V276" s="89"/>
      <c r="W276" s="89"/>
      <c r="X276" s="44"/>
      <c r="Y276" s="831"/>
      <c r="Z276" s="44"/>
      <c r="AA276" s="44"/>
      <c r="AB276" s="832"/>
      <c r="AC276" s="832"/>
      <c r="AD276" s="832"/>
      <c r="AE276" s="832"/>
      <c r="AF276" s="832"/>
      <c r="AG276" s="832"/>
      <c r="AH276" s="832"/>
      <c r="AI276" s="832"/>
      <c r="AJ276" s="832"/>
      <c r="AK276" s="832"/>
      <c r="AL276" s="832"/>
      <c r="AM276" s="832"/>
      <c r="AN276" s="832"/>
      <c r="AO276" s="832"/>
      <c r="AP276" s="832"/>
      <c r="AV276" s="832"/>
      <c r="AW276" s="832"/>
    </row>
    <row r="277" spans="1:64" s="829" customFormat="1" ht="15" customHeight="1">
      <c r="A277" s="124"/>
      <c r="B277" s="851"/>
      <c r="C277" s="852" t="s">
        <v>187</v>
      </c>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32"/>
      <c r="AC277" s="832"/>
      <c r="AD277" s="832"/>
      <c r="AE277" s="832"/>
      <c r="AF277" s="832"/>
      <c r="AG277" s="832"/>
      <c r="AH277" s="832"/>
      <c r="AI277" s="832"/>
      <c r="AJ277" s="832"/>
      <c r="AK277" s="832"/>
      <c r="AL277" s="832"/>
      <c r="AM277" s="832"/>
      <c r="AN277" s="832"/>
      <c r="AO277" s="832"/>
      <c r="AP277" s="832"/>
    </row>
    <row r="278" spans="1:64" s="829" customFormat="1" ht="14">
      <c r="A278" s="124"/>
      <c r="B278" s="89"/>
      <c r="C278" s="14"/>
      <c r="D278" s="811" t="s">
        <v>98</v>
      </c>
      <c r="E278" s="811" t="s">
        <v>14</v>
      </c>
      <c r="F278" s="812"/>
      <c r="G278" s="813"/>
      <c r="H278" s="240"/>
      <c r="I278" s="240"/>
      <c r="J278" s="89"/>
      <c r="K278" s="89"/>
      <c r="L278" s="89"/>
      <c r="M278" s="801" t="s">
        <v>98</v>
      </c>
      <c r="N278" s="801" t="s">
        <v>14</v>
      </c>
      <c r="O278" s="802"/>
      <c r="P278"/>
      <c r="S278" s="89"/>
      <c r="T278" s="89"/>
      <c r="U278" s="89"/>
      <c r="V278" s="801" t="s">
        <v>98</v>
      </c>
      <c r="W278" s="801" t="s">
        <v>12</v>
      </c>
      <c r="X278" s="1092"/>
      <c r="Y278" s="1092"/>
      <c r="Z278" s="802"/>
      <c r="AA278"/>
      <c r="AB278"/>
      <c r="AC278"/>
      <c r="AD278" s="854" t="s">
        <v>182</v>
      </c>
      <c r="AE278" s="855" t="s">
        <v>181</v>
      </c>
      <c r="AF278" s="855"/>
      <c r="AG278" s="855"/>
      <c r="AH278" s="855"/>
      <c r="AI278" s="855"/>
      <c r="AJ278" s="855"/>
      <c r="AK278" s="855"/>
      <c r="AL278" s="855"/>
      <c r="AM278" s="855"/>
      <c r="AN278" s="855"/>
      <c r="AO278" s="853" t="s">
        <v>61</v>
      </c>
      <c r="AP278" s="854"/>
      <c r="AV278" s="832"/>
      <c r="AW278" s="832"/>
    </row>
    <row r="279" spans="1:64" s="829" customFormat="1" ht="14">
      <c r="A279" s="124"/>
      <c r="B279" s="89"/>
      <c r="C279" s="14"/>
      <c r="D279" s="811" t="s">
        <v>12</v>
      </c>
      <c r="E279" s="811" t="s">
        <v>47</v>
      </c>
      <c r="F279" s="814" t="s">
        <v>27</v>
      </c>
      <c r="G279" s="815" t="s">
        <v>235</v>
      </c>
      <c r="H279" s="240"/>
      <c r="I279" s="240"/>
      <c r="J279" s="89"/>
      <c r="K279" s="89"/>
      <c r="L279" s="89"/>
      <c r="M279" s="801" t="s">
        <v>12</v>
      </c>
      <c r="N279" s="803" t="s">
        <v>47</v>
      </c>
      <c r="O279" s="804" t="s">
        <v>27</v>
      </c>
      <c r="P279"/>
      <c r="S279" s="89"/>
      <c r="T279" s="89"/>
      <c r="U279" s="89"/>
      <c r="V279" s="801" t="s">
        <v>14</v>
      </c>
      <c r="W279" s="803" t="s">
        <v>3</v>
      </c>
      <c r="X279" s="1093" t="s">
        <v>50</v>
      </c>
      <c r="Y279" s="1093" t="s">
        <v>49</v>
      </c>
      <c r="Z279" s="804" t="s">
        <v>51</v>
      </c>
      <c r="AA279"/>
      <c r="AB279"/>
      <c r="AC279"/>
      <c r="AD279" s="835"/>
      <c r="AE279" s="855" t="s">
        <v>63</v>
      </c>
      <c r="AF279" s="856"/>
      <c r="AG279" s="840" t="s">
        <v>62</v>
      </c>
      <c r="AH279" s="840"/>
      <c r="AI279" s="840" t="s">
        <v>64</v>
      </c>
      <c r="AJ279" s="840"/>
      <c r="AK279" s="840" t="s">
        <v>65</v>
      </c>
      <c r="AL279" s="840"/>
      <c r="AM279" s="840" t="s">
        <v>66</v>
      </c>
      <c r="AN279" s="857"/>
      <c r="AO279" s="833"/>
      <c r="AP279" s="835"/>
      <c r="AV279" s="832"/>
      <c r="AW279" s="832"/>
    </row>
    <row r="280" spans="1:64" s="829" customFormat="1" ht="14">
      <c r="A280" s="124"/>
      <c r="B280" s="89"/>
      <c r="C280" s="14"/>
      <c r="D280" s="811" t="s">
        <v>3</v>
      </c>
      <c r="E280" s="816">
        <v>57</v>
      </c>
      <c r="F280" s="817">
        <v>116</v>
      </c>
      <c r="G280" s="818">
        <v>173</v>
      </c>
      <c r="H280" s="240"/>
      <c r="I280" s="240"/>
      <c r="J280" s="89"/>
      <c r="K280" s="89"/>
      <c r="L280" s="89"/>
      <c r="M280" s="803" t="s">
        <v>3</v>
      </c>
      <c r="N280" s="807">
        <v>0.32947976878612717</v>
      </c>
      <c r="O280" s="808">
        <v>0.67052023121387283</v>
      </c>
      <c r="P280"/>
      <c r="S280" s="89"/>
      <c r="T280" s="89"/>
      <c r="U280" s="89"/>
      <c r="V280" s="803" t="s">
        <v>47</v>
      </c>
      <c r="W280" s="1084">
        <v>0.47499999999999998</v>
      </c>
      <c r="X280" s="1094">
        <v>0.27500000000000002</v>
      </c>
      <c r="Y280" s="1094">
        <v>0.22500000000000001</v>
      </c>
      <c r="Z280" s="1088">
        <v>2.5000000000000001E-2</v>
      </c>
      <c r="AA280"/>
      <c r="AB280"/>
      <c r="AC280"/>
      <c r="AD280" s="834"/>
      <c r="AE280" s="840" t="s">
        <v>27</v>
      </c>
      <c r="AF280" s="840" t="s">
        <v>47</v>
      </c>
      <c r="AG280" s="840" t="s">
        <v>27</v>
      </c>
      <c r="AH280" s="840" t="s">
        <v>47</v>
      </c>
      <c r="AI280" s="840" t="s">
        <v>27</v>
      </c>
      <c r="AJ280" s="840" t="s">
        <v>47</v>
      </c>
      <c r="AK280" s="840" t="s">
        <v>27</v>
      </c>
      <c r="AL280" s="840" t="s">
        <v>47</v>
      </c>
      <c r="AM280" s="840" t="s">
        <v>27</v>
      </c>
      <c r="AN280" s="840" t="s">
        <v>47</v>
      </c>
      <c r="AO280" s="834" t="s">
        <v>27</v>
      </c>
      <c r="AP280" s="834" t="s">
        <v>47</v>
      </c>
      <c r="AV280" s="832"/>
      <c r="AW280" s="832"/>
    </row>
    <row r="281" spans="1:64" s="829" customFormat="1" ht="14">
      <c r="A281" s="124"/>
      <c r="B281" s="89"/>
      <c r="C281" s="14"/>
      <c r="D281" s="1098" t="s">
        <v>49</v>
      </c>
      <c r="E281" s="942">
        <v>27</v>
      </c>
      <c r="F281" s="1099">
        <v>8</v>
      </c>
      <c r="G281" s="1100">
        <v>35</v>
      </c>
      <c r="H281" s="240"/>
      <c r="I281" s="240"/>
      <c r="J281" s="89"/>
      <c r="K281" s="89"/>
      <c r="L281" s="89"/>
      <c r="M281" s="805" t="s">
        <v>49</v>
      </c>
      <c r="N281" s="1086">
        <v>0.77142857142857146</v>
      </c>
      <c r="O281" s="1087">
        <v>0.22857142857142856</v>
      </c>
      <c r="P281"/>
      <c r="S281" s="89"/>
      <c r="T281" s="89"/>
      <c r="U281" s="89"/>
      <c r="V281" s="805" t="s">
        <v>27</v>
      </c>
      <c r="W281" s="1089">
        <v>0.57999999999999996</v>
      </c>
      <c r="X281" s="1095">
        <v>0.33</v>
      </c>
      <c r="Y281" s="1095">
        <v>0.04</v>
      </c>
      <c r="Z281" s="1090">
        <v>0.05</v>
      </c>
      <c r="AA281"/>
      <c r="AB281"/>
      <c r="AC281"/>
      <c r="AD281" s="840"/>
      <c r="AE281" s="840"/>
      <c r="AF281" s="840"/>
      <c r="AG281" s="840"/>
      <c r="AH281" s="840"/>
      <c r="AI281" s="840"/>
      <c r="AJ281" s="840"/>
      <c r="AK281" s="840"/>
      <c r="AL281" s="840"/>
      <c r="AM281" s="840"/>
      <c r="AN281" s="840"/>
      <c r="AO281" s="840"/>
      <c r="AP281" s="840"/>
      <c r="AV281" s="832"/>
      <c r="AW281" s="832"/>
    </row>
    <row r="282" spans="1:64" s="829" customFormat="1" ht="14">
      <c r="A282" s="124"/>
      <c r="B282" s="89"/>
      <c r="C282" s="14"/>
      <c r="D282" s="1098" t="s">
        <v>50</v>
      </c>
      <c r="E282" s="942">
        <v>33</v>
      </c>
      <c r="F282" s="1099">
        <v>66</v>
      </c>
      <c r="G282" s="1100">
        <v>99</v>
      </c>
      <c r="H282" s="240"/>
      <c r="I282" s="240"/>
      <c r="J282" s="89"/>
      <c r="K282" s="89"/>
      <c r="L282" s="89"/>
      <c r="M282" s="805" t="s">
        <v>50</v>
      </c>
      <c r="N282" s="1086">
        <v>0.33333333333333331</v>
      </c>
      <c r="O282" s="1087">
        <v>0.66666666666666663</v>
      </c>
      <c r="P282"/>
      <c r="S282" s="89"/>
      <c r="T282" s="89"/>
      <c r="U282" s="89"/>
      <c r="V282" s="806" t="s">
        <v>235</v>
      </c>
      <c r="W282" s="1085">
        <v>0.54062500000000002</v>
      </c>
      <c r="X282" s="1096">
        <v>0.30937500000000001</v>
      </c>
      <c r="Y282" s="1096">
        <v>0.109375</v>
      </c>
      <c r="Z282" s="1091">
        <v>4.0625000000000001E-2</v>
      </c>
      <c r="AA282"/>
      <c r="AB282"/>
      <c r="AC282"/>
      <c r="AD282" s="840"/>
      <c r="AE282" s="840"/>
      <c r="AF282" s="840"/>
      <c r="AG282" s="840"/>
      <c r="AH282" s="840"/>
      <c r="AI282" s="840"/>
      <c r="AJ282" s="840"/>
      <c r="AK282" s="840"/>
      <c r="AL282" s="840"/>
      <c r="AM282" s="840"/>
      <c r="AN282" s="840"/>
      <c r="AO282" s="840"/>
      <c r="AP282" s="840"/>
      <c r="AR282" s="832"/>
      <c r="AS282" s="832"/>
      <c r="AT282" s="832"/>
      <c r="AU282" s="832"/>
      <c r="AV282" s="832"/>
      <c r="AW282" s="832"/>
    </row>
    <row r="283" spans="1:64" s="829" customFormat="1" ht="14">
      <c r="A283" s="124"/>
      <c r="B283" s="89"/>
      <c r="C283" s="14"/>
      <c r="D283" s="1098" t="s">
        <v>51</v>
      </c>
      <c r="E283" s="942">
        <v>3</v>
      </c>
      <c r="F283" s="1099">
        <v>10</v>
      </c>
      <c r="G283" s="1100">
        <v>13</v>
      </c>
      <c r="H283" s="240"/>
      <c r="I283" s="240"/>
      <c r="J283" s="89"/>
      <c r="K283" s="89"/>
      <c r="L283" s="89"/>
      <c r="M283" s="805" t="s">
        <v>51</v>
      </c>
      <c r="N283" s="1086">
        <v>0.23076923076923078</v>
      </c>
      <c r="O283" s="1087">
        <v>0.76923076923076927</v>
      </c>
      <c r="P283"/>
      <c r="S283" s="89"/>
      <c r="T283" s="89"/>
      <c r="U283" s="89"/>
      <c r="V283" s="89"/>
      <c r="W283" s="89"/>
      <c r="X283" s="89"/>
      <c r="Y283" s="44"/>
      <c r="Z283" s="44"/>
      <c r="AA283" s="44"/>
      <c r="AB283" s="840"/>
      <c r="AC283" s="840"/>
      <c r="AD283" s="840"/>
      <c r="AE283" s="840"/>
      <c r="AF283" s="840"/>
      <c r="AG283" s="840"/>
      <c r="AH283" s="840"/>
      <c r="AI283" s="840"/>
      <c r="AJ283" s="840"/>
      <c r="AK283" s="840"/>
      <c r="AL283" s="840"/>
      <c r="AM283" s="840"/>
      <c r="AN283" s="840"/>
      <c r="AO283" s="840"/>
      <c r="AP283" s="840"/>
      <c r="AR283" s="832"/>
      <c r="AS283" s="832"/>
      <c r="AT283" s="832"/>
      <c r="AU283" s="832"/>
      <c r="AV283" s="832"/>
      <c r="AW283" s="832"/>
    </row>
    <row r="284" spans="1:64" s="829" customFormat="1" ht="14">
      <c r="A284" s="124"/>
      <c r="B284" s="89"/>
      <c r="C284" s="14"/>
      <c r="D284" s="819" t="s">
        <v>235</v>
      </c>
      <c r="E284" s="820">
        <v>120</v>
      </c>
      <c r="F284" s="821">
        <v>200</v>
      </c>
      <c r="G284" s="822">
        <v>320</v>
      </c>
      <c r="H284" s="240"/>
      <c r="I284" s="240"/>
      <c r="J284" s="89"/>
      <c r="K284" s="89"/>
      <c r="L284" s="89"/>
      <c r="M284" s="806" t="s">
        <v>235</v>
      </c>
      <c r="N284" s="809">
        <v>0.375</v>
      </c>
      <c r="O284" s="810">
        <v>0.625</v>
      </c>
      <c r="P284"/>
      <c r="S284" s="89"/>
      <c r="T284" s="89"/>
      <c r="U284" s="89"/>
      <c r="V284" s="89"/>
      <c r="W284" s="89"/>
      <c r="X284" s="89"/>
      <c r="Y284" s="44"/>
      <c r="Z284" s="44"/>
      <c r="AA284" s="44"/>
      <c r="AB284" s="840"/>
      <c r="AC284" s="840"/>
      <c r="AD284" s="840"/>
      <c r="AE284" s="840"/>
      <c r="AF284" s="840"/>
      <c r="AG284" s="840"/>
      <c r="AH284" s="840"/>
      <c r="AI284" s="840"/>
      <c r="AJ284" s="840"/>
      <c r="AK284" s="840"/>
      <c r="AL284" s="840"/>
      <c r="AM284" s="840"/>
      <c r="AN284" s="840"/>
      <c r="AO284" s="840"/>
      <c r="AP284" s="840"/>
      <c r="AR284" s="832"/>
      <c r="AS284" s="832"/>
      <c r="AT284" s="832"/>
      <c r="AU284" s="832"/>
      <c r="AV284" s="832"/>
      <c r="AW284" s="832"/>
    </row>
    <row r="285" spans="1:64" s="829" customFormat="1" ht="14">
      <c r="A285" s="124"/>
      <c r="B285" s="89"/>
      <c r="C285" s="14"/>
      <c r="D285"/>
      <c r="E285"/>
      <c r="F285"/>
      <c r="G285"/>
      <c r="H285" s="240"/>
      <c r="I285" s="240"/>
      <c r="J285" s="89"/>
      <c r="K285" s="89"/>
      <c r="L285" s="89"/>
      <c r="M285"/>
      <c r="N285"/>
      <c r="O285"/>
      <c r="P285"/>
      <c r="S285" s="89"/>
      <c r="T285" s="89"/>
      <c r="U285" s="89"/>
      <c r="V285" s="89"/>
      <c r="W285" s="89"/>
      <c r="X285" s="89"/>
      <c r="Y285" s="44"/>
      <c r="Z285" s="44"/>
      <c r="AA285" s="44"/>
      <c r="AB285" s="840"/>
      <c r="AC285" s="840"/>
      <c r="AD285" s="840"/>
      <c r="AE285" s="840"/>
      <c r="AF285" s="840"/>
      <c r="AG285" s="840"/>
      <c r="AH285" s="840"/>
      <c r="AI285" s="840"/>
      <c r="AJ285" s="840"/>
      <c r="AK285" s="840"/>
      <c r="AL285" s="840"/>
      <c r="AM285" s="840"/>
      <c r="AN285" s="840"/>
      <c r="AO285" s="840"/>
      <c r="AP285" s="840"/>
      <c r="AR285" s="832"/>
      <c r="AS285" s="832"/>
      <c r="AT285" s="832"/>
      <c r="AU285" s="832"/>
      <c r="AV285" s="832"/>
      <c r="AW285" s="832"/>
    </row>
    <row r="286" spans="1:64" s="829" customFormat="1" ht="14">
      <c r="A286" s="124"/>
      <c r="B286" s="89"/>
      <c r="C286" s="14"/>
      <c r="D286"/>
      <c r="E286"/>
      <c r="F286"/>
      <c r="G286"/>
      <c r="H286" s="240"/>
      <c r="I286" s="240"/>
      <c r="J286" s="89"/>
      <c r="K286" s="89"/>
      <c r="L286" s="89"/>
      <c r="M286"/>
      <c r="N286"/>
      <c r="O286"/>
      <c r="P286"/>
      <c r="S286" s="89"/>
      <c r="T286" s="89"/>
      <c r="U286" s="89"/>
      <c r="V286" s="89"/>
      <c r="W286" s="89"/>
      <c r="X286" s="89"/>
      <c r="Y286" s="44"/>
      <c r="Z286" s="44"/>
      <c r="AA286" s="44"/>
      <c r="AB286" s="840"/>
      <c r="AC286" s="840"/>
      <c r="AD286" s="840"/>
      <c r="AE286" s="840"/>
      <c r="AF286" s="840"/>
      <c r="AG286" s="840"/>
      <c r="AH286" s="840"/>
      <c r="AI286" s="840"/>
      <c r="AJ286" s="840"/>
      <c r="AK286" s="840"/>
      <c r="AL286" s="840"/>
      <c r="AM286" s="840"/>
      <c r="AN286" s="840"/>
      <c r="AO286" s="840"/>
      <c r="AP286" s="840"/>
      <c r="AR286" s="832"/>
      <c r="AS286" s="832"/>
      <c r="AT286" s="832"/>
      <c r="AU286" s="832"/>
      <c r="AV286" s="832"/>
      <c r="AW286" s="832"/>
    </row>
    <row r="287" spans="1:64" s="829" customFormat="1" ht="14">
      <c r="A287" s="124"/>
      <c r="B287" s="89"/>
      <c r="C287" s="14"/>
      <c r="D287"/>
      <c r="E287"/>
      <c r="F287"/>
      <c r="G287"/>
      <c r="H287" s="240"/>
      <c r="I287" s="240"/>
      <c r="J287" s="89"/>
      <c r="K287" s="89"/>
      <c r="L287" s="89"/>
      <c r="M287"/>
      <c r="N287"/>
      <c r="O287"/>
      <c r="P287"/>
      <c r="S287" s="89"/>
      <c r="T287" s="89"/>
      <c r="U287" s="89"/>
      <c r="V287" s="89"/>
      <c r="W287" s="89"/>
      <c r="X287" s="89"/>
      <c r="Y287" s="44"/>
      <c r="Z287" s="44"/>
      <c r="AA287" s="44"/>
      <c r="AB287" s="840"/>
      <c r="AC287" s="840"/>
      <c r="AD287" s="840"/>
      <c r="AE287" s="840"/>
      <c r="AF287" s="840"/>
      <c r="AG287" s="840"/>
      <c r="AH287" s="840"/>
      <c r="AI287" s="840"/>
      <c r="AJ287" s="840"/>
      <c r="AK287" s="840"/>
      <c r="AL287" s="840"/>
      <c r="AM287" s="840"/>
      <c r="AN287" s="840"/>
      <c r="AO287" s="840"/>
      <c r="AP287" s="840"/>
      <c r="AR287" s="832"/>
      <c r="AS287" s="832"/>
      <c r="AT287" s="832"/>
      <c r="AU287" s="832"/>
      <c r="AV287" s="832"/>
      <c r="AW287" s="832"/>
    </row>
    <row r="288" spans="1:64" s="829" customFormat="1" ht="14">
      <c r="A288" s="124"/>
      <c r="B288" s="89"/>
      <c r="C288" s="14"/>
      <c r="D288" s="240"/>
      <c r="E288" s="847"/>
      <c r="F288" s="240"/>
      <c r="G288" s="240"/>
      <c r="H288" s="240"/>
      <c r="I288" s="240"/>
      <c r="J288" s="89"/>
      <c r="K288" s="89"/>
      <c r="L288" s="89"/>
      <c r="M288" s="89"/>
      <c r="N288" s="89"/>
      <c r="O288" s="848"/>
      <c r="P288" s="849"/>
      <c r="Q288" s="849"/>
      <c r="R288" s="850"/>
      <c r="S288" s="89"/>
      <c r="T288" s="89"/>
      <c r="U288" s="89"/>
      <c r="V288" s="89"/>
      <c r="W288" s="89"/>
      <c r="X288" s="89"/>
      <c r="Y288" s="44"/>
      <c r="Z288" s="44"/>
      <c r="AA288" s="44"/>
      <c r="AB288" s="840"/>
      <c r="AC288" s="840"/>
      <c r="AD288" s="840"/>
      <c r="AE288" s="840"/>
      <c r="AF288" s="840"/>
      <c r="AG288" s="840"/>
      <c r="AH288" s="840"/>
      <c r="AI288" s="840"/>
      <c r="AJ288" s="840"/>
      <c r="AK288" s="840"/>
      <c r="AL288" s="840"/>
      <c r="AM288" s="840"/>
      <c r="AN288" s="840"/>
      <c r="AO288" s="840"/>
      <c r="AP288" s="840"/>
      <c r="AR288" s="832"/>
      <c r="AS288" s="832"/>
      <c r="AT288" s="832"/>
      <c r="AU288" s="832"/>
      <c r="AV288" s="832"/>
      <c r="AW288" s="832"/>
    </row>
    <row r="289" spans="1:49" s="8" customFormat="1" ht="14">
      <c r="A289" s="119"/>
      <c r="B289" s="14"/>
      <c r="C289" s="14"/>
      <c r="G289" s="25"/>
      <c r="H289" s="25"/>
      <c r="I289" s="25"/>
      <c r="J289" s="14"/>
      <c r="K289" s="14"/>
      <c r="L289" s="14"/>
      <c r="M289" s="14"/>
      <c r="N289" s="14"/>
      <c r="O289" s="17"/>
      <c r="P289" s="18"/>
      <c r="Q289" s="18"/>
      <c r="R289" s="19"/>
      <c r="S289" s="14"/>
      <c r="T289" s="14"/>
      <c r="U289" s="14"/>
      <c r="V289" s="14"/>
      <c r="W289" s="14"/>
      <c r="X289" s="14"/>
      <c r="Y289" s="14"/>
      <c r="Z289" s="14"/>
      <c r="AA289" s="14"/>
      <c r="AB289" s="840"/>
      <c r="AC289" s="840"/>
      <c r="AD289" s="840"/>
      <c r="AE289" s="840"/>
      <c r="AF289" s="840"/>
      <c r="AG289" s="840"/>
      <c r="AH289" s="840"/>
      <c r="AI289" s="840"/>
      <c r="AJ289" s="840"/>
      <c r="AK289" s="840"/>
      <c r="AL289" s="840"/>
      <c r="AM289" s="840"/>
      <c r="AN289" s="840"/>
      <c r="AO289" s="840"/>
      <c r="AP289" s="840"/>
      <c r="AR289" s="53"/>
      <c r="AS289" s="53"/>
      <c r="AT289" s="53"/>
      <c r="AU289" s="53"/>
      <c r="AV289" s="53"/>
      <c r="AW289" s="53"/>
    </row>
    <row r="290" spans="1:49" s="8" customFormat="1" ht="14">
      <c r="A290" s="119"/>
      <c r="B290" s="14"/>
      <c r="C290" s="14"/>
      <c r="D290" s="20"/>
      <c r="E290" s="21"/>
      <c r="F290" s="21"/>
      <c r="G290" s="14"/>
      <c r="H290" s="14"/>
      <c r="I290" s="14"/>
      <c r="J290" s="14"/>
      <c r="K290" s="14"/>
      <c r="L290" s="14"/>
      <c r="M290" s="14"/>
      <c r="N290" s="14"/>
      <c r="O290" s="17"/>
      <c r="P290" s="18"/>
      <c r="Q290" s="18"/>
      <c r="R290" s="19"/>
      <c r="S290" s="14"/>
      <c r="T290" s="14"/>
      <c r="U290" s="14"/>
      <c r="V290" s="14"/>
      <c r="W290" s="14"/>
      <c r="X290" s="14"/>
      <c r="Y290" s="14"/>
      <c r="Z290" s="14"/>
      <c r="AA290" s="14"/>
      <c r="AB290" s="840"/>
      <c r="AC290" s="840"/>
      <c r="AD290" s="840"/>
      <c r="AE290" s="840"/>
      <c r="AF290" s="840"/>
      <c r="AG290" s="840"/>
      <c r="AH290" s="840"/>
      <c r="AI290" s="840"/>
      <c r="AJ290" s="840"/>
      <c r="AK290" s="840"/>
      <c r="AL290" s="840"/>
      <c r="AM290" s="840"/>
      <c r="AN290" s="840"/>
      <c r="AO290" s="840"/>
      <c r="AP290" s="840"/>
      <c r="AR290" s="53"/>
      <c r="AS290" s="53"/>
      <c r="AT290" s="53"/>
      <c r="AU290" s="53"/>
      <c r="AV290" s="53"/>
      <c r="AW290" s="53"/>
    </row>
    <row r="291" spans="1:49" s="8" customFormat="1" ht="13">
      <c r="A291" s="119"/>
      <c r="B291" s="14"/>
      <c r="C291" s="14"/>
      <c r="D291" s="20"/>
      <c r="E291" s="21"/>
      <c r="F291" s="21"/>
      <c r="G291" s="14"/>
      <c r="H291" s="14"/>
      <c r="I291" s="14"/>
      <c r="J291" s="14"/>
      <c r="K291" s="14"/>
      <c r="L291" s="14"/>
      <c r="M291" s="14"/>
      <c r="N291" s="14"/>
      <c r="O291" s="17"/>
      <c r="P291" s="18"/>
      <c r="Q291" s="18"/>
      <c r="R291" s="19"/>
      <c r="S291" s="14"/>
      <c r="T291" s="14"/>
      <c r="U291" s="14"/>
      <c r="V291" s="14"/>
      <c r="W291" s="14"/>
      <c r="X291" s="14"/>
      <c r="Y291" s="14"/>
      <c r="Z291" s="14"/>
      <c r="AA291" s="14"/>
      <c r="AB291" s="14"/>
      <c r="AR291" s="53"/>
      <c r="AS291" s="53"/>
      <c r="AT291" s="53"/>
      <c r="AU291" s="53"/>
      <c r="AV291" s="53"/>
      <c r="AW291" s="53"/>
    </row>
    <row r="292" spans="1:49" s="8" customFormat="1" ht="13">
      <c r="A292" s="119"/>
      <c r="B292" s="14"/>
      <c r="C292" s="14"/>
      <c r="D292" s="20"/>
      <c r="E292" s="21"/>
      <c r="F292" s="21"/>
      <c r="G292" s="14"/>
      <c r="H292" s="14"/>
      <c r="I292" s="14"/>
      <c r="J292" s="14"/>
      <c r="K292" s="14"/>
      <c r="L292" s="14"/>
      <c r="M292" s="14"/>
      <c r="N292" s="14"/>
      <c r="O292" s="17"/>
      <c r="P292" s="18"/>
      <c r="Q292" s="18"/>
      <c r="R292" s="19"/>
      <c r="S292" s="14"/>
      <c r="T292" s="14"/>
      <c r="U292" s="14"/>
      <c r="V292" s="14"/>
      <c r="W292" s="14"/>
      <c r="X292" s="14"/>
      <c r="Y292" s="14"/>
      <c r="Z292" s="14"/>
      <c r="AA292" s="14"/>
      <c r="AB292" s="14"/>
    </row>
    <row r="293" spans="1:49" s="8" customFormat="1" ht="13">
      <c r="A293" s="119"/>
      <c r="B293" s="14"/>
      <c r="C293" s="14"/>
      <c r="D293" s="20"/>
      <c r="E293" s="21"/>
      <c r="F293" s="21"/>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49" s="8" customFormat="1" ht="13">
      <c r="A294" s="119"/>
      <c r="B294" s="14"/>
      <c r="C294" s="14"/>
      <c r="D294" s="20"/>
      <c r="E294" s="21"/>
      <c r="F294" s="21"/>
      <c r="G294" s="14"/>
      <c r="H294" s="14"/>
      <c r="I294" s="14"/>
      <c r="J294" s="14"/>
      <c r="K294" s="14"/>
      <c r="L294" s="14"/>
      <c r="M294" s="14"/>
      <c r="N294" s="14"/>
      <c r="O294" s="14"/>
      <c r="P294" s="14"/>
      <c r="Q294" s="14"/>
      <c r="R294" s="14"/>
      <c r="S294" s="14"/>
      <c r="T294" s="14"/>
      <c r="U294" s="14"/>
      <c r="V294" s="14"/>
      <c r="W294" s="14"/>
      <c r="X294" s="14"/>
      <c r="Y294" s="14"/>
      <c r="Z294" s="14"/>
      <c r="AA294" s="14"/>
      <c r="AB294" s="268" t="s">
        <v>130</v>
      </c>
      <c r="AC294" s="257"/>
      <c r="AD294" s="257"/>
      <c r="AE294" s="257"/>
      <c r="AF294" s="257"/>
      <c r="AG294" s="121" t="s">
        <v>432</v>
      </c>
      <c r="AH294" s="120"/>
    </row>
    <row r="295" spans="1:49" s="8" customFormat="1" ht="13">
      <c r="A295" s="119"/>
      <c r="B295" s="14"/>
      <c r="C295" s="14"/>
      <c r="D295" s="20"/>
      <c r="E295" s="21"/>
      <c r="F295" s="21"/>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49" s="8" customFormat="1" ht="13">
      <c r="A296" s="119"/>
      <c r="B296" s="14"/>
      <c r="C296" s="14"/>
      <c r="D296" s="20"/>
      <c r="E296" s="21"/>
      <c r="F296" s="21"/>
      <c r="G296" s="14"/>
      <c r="H296" s="14"/>
      <c r="I296" s="14"/>
      <c r="J296" s="14"/>
      <c r="K296" s="14"/>
      <c r="L296" s="14"/>
      <c r="M296" s="14"/>
      <c r="N296" s="14"/>
      <c r="O296" s="14"/>
      <c r="P296" s="14"/>
      <c r="Q296" s="14"/>
      <c r="R296" s="14"/>
      <c r="S296" s="14"/>
      <c r="T296" s="14"/>
      <c r="U296" s="14"/>
      <c r="V296" s="14"/>
      <c r="W296" s="14"/>
      <c r="X296" s="14"/>
      <c r="Y296" s="14"/>
      <c r="Z296" s="14"/>
      <c r="AA296" s="14"/>
      <c r="AB296" s="14"/>
    </row>
    <row r="297" spans="1:49" s="8" customFormat="1" ht="15">
      <c r="A297" s="119"/>
      <c r="B297" s="14"/>
      <c r="C297" s="14"/>
      <c r="D297" s="20"/>
      <c r="E297" s="21"/>
      <c r="F297" s="21"/>
      <c r="G297" s="14"/>
      <c r="H297" s="14"/>
      <c r="I297" s="14"/>
      <c r="J297" s="14"/>
      <c r="K297" s="14"/>
      <c r="L297" s="14"/>
      <c r="M297" s="14"/>
      <c r="N297" s="14"/>
      <c r="O297" s="14"/>
      <c r="P297" s="14"/>
      <c r="Q297" s="14"/>
      <c r="R297" s="14"/>
      <c r="S297" s="14"/>
      <c r="T297" s="14"/>
      <c r="U297" s="14"/>
      <c r="V297" s="14"/>
      <c r="W297" s="14"/>
      <c r="X297" s="14"/>
      <c r="Y297" s="14"/>
      <c r="Z297" s="14"/>
      <c r="AA297" s="14"/>
      <c r="AB297" s="836"/>
      <c r="AC297" s="837" t="s">
        <v>98</v>
      </c>
      <c r="AD297" s="838"/>
      <c r="AE297" s="839" t="s">
        <v>183</v>
      </c>
      <c r="AF297" s="838"/>
      <c r="AG297" s="839" t="s">
        <v>99</v>
      </c>
      <c r="AH297" s="838"/>
      <c r="AI297" s="839" t="s">
        <v>184</v>
      </c>
      <c r="AJ297" s="838"/>
      <c r="AK297" s="839" t="s">
        <v>100</v>
      </c>
      <c r="AL297" s="838"/>
    </row>
    <row r="298" spans="1:49" s="8" customFormat="1" ht="14">
      <c r="A298" s="119"/>
      <c r="B298" s="14"/>
      <c r="C298" s="14"/>
      <c r="D298" s="20"/>
      <c r="E298" s="21"/>
      <c r="F298" s="21"/>
      <c r="G298" s="14"/>
      <c r="H298" s="14"/>
      <c r="I298" s="14"/>
      <c r="J298" s="14"/>
      <c r="K298" s="14"/>
      <c r="L298" s="14"/>
      <c r="M298" s="14"/>
      <c r="N298" s="14"/>
      <c r="O298" s="14"/>
      <c r="P298" s="14"/>
      <c r="Q298" s="14"/>
      <c r="R298" s="14"/>
      <c r="S298" s="14"/>
      <c r="T298" s="14"/>
      <c r="U298" s="14"/>
      <c r="V298" s="14"/>
      <c r="W298" s="14"/>
      <c r="X298" s="14"/>
      <c r="Y298" s="14"/>
      <c r="Z298" s="14"/>
      <c r="AA298" s="14"/>
      <c r="AB298" s="841" t="s">
        <v>163</v>
      </c>
      <c r="AC298" s="842" t="s">
        <v>27</v>
      </c>
      <c r="AD298" s="842" t="s">
        <v>47</v>
      </c>
      <c r="AE298" s="842" t="s">
        <v>27</v>
      </c>
      <c r="AF298" s="842" t="s">
        <v>47</v>
      </c>
      <c r="AG298" s="842" t="s">
        <v>27</v>
      </c>
      <c r="AH298" s="842" t="s">
        <v>47</v>
      </c>
      <c r="AI298" s="842" t="s">
        <v>27</v>
      </c>
      <c r="AJ298" s="842" t="s">
        <v>47</v>
      </c>
      <c r="AK298" s="842" t="s">
        <v>27</v>
      </c>
      <c r="AL298" s="842" t="s">
        <v>47</v>
      </c>
    </row>
    <row r="299" spans="1:49" s="8" customFormat="1" ht="14">
      <c r="A299" s="119"/>
      <c r="B299" s="14"/>
      <c r="C299" s="14"/>
      <c r="D299" s="20"/>
      <c r="E299" s="21"/>
      <c r="F299" s="21"/>
      <c r="G299" s="14"/>
      <c r="H299" s="14"/>
      <c r="I299" s="14"/>
      <c r="J299" s="14"/>
      <c r="K299" s="14"/>
      <c r="L299" s="14"/>
      <c r="M299" s="14"/>
      <c r="N299" s="14"/>
      <c r="O299" s="14"/>
      <c r="P299" s="14"/>
      <c r="Q299" s="14"/>
      <c r="R299" s="14"/>
      <c r="S299" s="14"/>
      <c r="T299" s="14"/>
      <c r="U299" s="14"/>
      <c r="V299" s="14"/>
      <c r="W299" s="14"/>
      <c r="X299" s="14"/>
      <c r="Y299" s="14"/>
      <c r="Z299" s="14"/>
      <c r="AA299" s="14"/>
      <c r="AB299" s="836"/>
      <c r="AC299" s="843"/>
      <c r="AD299" s="843"/>
      <c r="AE299" s="843"/>
      <c r="AF299" s="843"/>
      <c r="AG299" s="843"/>
      <c r="AH299" s="843"/>
      <c r="AI299" s="843"/>
      <c r="AJ299" s="843"/>
      <c r="AK299" s="843"/>
      <c r="AL299" s="843"/>
    </row>
    <row r="300" spans="1:49" s="8" customFormat="1" ht="14">
      <c r="A300" s="119"/>
      <c r="B300" s="14"/>
      <c r="C300" s="14"/>
      <c r="D300" s="20"/>
      <c r="E300" s="21"/>
      <c r="F300" s="21"/>
      <c r="G300" s="14"/>
      <c r="H300" s="14"/>
      <c r="I300" s="14"/>
      <c r="J300" s="14"/>
      <c r="K300" s="14"/>
      <c r="L300" s="14"/>
      <c r="M300" s="14"/>
      <c r="N300" s="14"/>
      <c r="O300" s="14"/>
      <c r="P300" s="14"/>
      <c r="Q300" s="14"/>
      <c r="R300" s="14"/>
      <c r="S300" s="14"/>
      <c r="T300" s="14"/>
      <c r="U300" s="14"/>
      <c r="V300" s="14"/>
      <c r="W300" s="14"/>
      <c r="X300" s="14"/>
      <c r="Y300" s="14"/>
      <c r="Z300" s="14"/>
      <c r="AA300" s="14"/>
      <c r="AB300" s="836"/>
      <c r="AC300" s="843"/>
      <c r="AD300" s="843"/>
      <c r="AE300" s="843"/>
      <c r="AF300" s="843"/>
      <c r="AG300" s="843"/>
      <c r="AH300" s="843"/>
      <c r="AI300" s="843"/>
      <c r="AJ300" s="843"/>
      <c r="AK300" s="843"/>
      <c r="AL300" s="843"/>
    </row>
    <row r="301" spans="1:49" s="8" customFormat="1" ht="14">
      <c r="A301" s="119"/>
      <c r="B301" s="14"/>
      <c r="C301" s="14"/>
      <c r="D301" s="20"/>
      <c r="E301" s="21"/>
      <c r="F301" s="21"/>
      <c r="G301" s="14"/>
      <c r="H301" s="14"/>
      <c r="I301" s="14"/>
      <c r="J301" s="14"/>
      <c r="K301" s="14"/>
      <c r="L301" s="14"/>
      <c r="M301" s="14"/>
      <c r="N301" s="14"/>
      <c r="O301" s="14"/>
      <c r="P301" s="14"/>
      <c r="Q301" s="14"/>
      <c r="R301" s="14"/>
      <c r="S301" s="14"/>
      <c r="T301" s="14"/>
      <c r="U301" s="14"/>
      <c r="V301" s="14"/>
      <c r="W301" s="14"/>
      <c r="X301" s="14"/>
      <c r="Y301" s="14"/>
      <c r="Z301" s="14"/>
      <c r="AA301" s="14"/>
      <c r="AB301" s="836"/>
      <c r="AC301" s="843"/>
      <c r="AD301" s="843"/>
      <c r="AE301" s="843"/>
      <c r="AF301" s="843"/>
      <c r="AG301" s="843"/>
      <c r="AH301" s="843"/>
      <c r="AI301" s="843"/>
      <c r="AJ301" s="843"/>
      <c r="AK301" s="843"/>
      <c r="AL301" s="843"/>
    </row>
    <row r="302" spans="1:49" s="8" customFormat="1" ht="14">
      <c r="A302" s="119"/>
      <c r="B302" s="14"/>
      <c r="C302" s="14"/>
      <c r="D302" s="20"/>
      <c r="E302" s="21"/>
      <c r="F302" s="21"/>
      <c r="G302" s="14"/>
      <c r="H302" s="14"/>
      <c r="I302" s="14"/>
      <c r="J302" s="14"/>
      <c r="K302" s="14"/>
      <c r="L302" s="14"/>
      <c r="M302" s="14"/>
      <c r="N302" s="14"/>
      <c r="O302" s="14"/>
      <c r="P302" s="14"/>
      <c r="Q302" s="14"/>
      <c r="R302" s="14"/>
      <c r="S302" s="14"/>
      <c r="T302" s="14"/>
      <c r="U302" s="14"/>
      <c r="V302" s="14"/>
      <c r="W302" s="14"/>
      <c r="X302" s="14"/>
      <c r="Y302" s="14"/>
      <c r="Z302" s="14"/>
      <c r="AA302" s="14"/>
      <c r="AB302" s="836"/>
      <c r="AC302" s="843"/>
      <c r="AD302" s="843"/>
      <c r="AE302" s="843"/>
      <c r="AF302" s="843"/>
      <c r="AG302" s="843"/>
      <c r="AH302" s="843"/>
      <c r="AI302" s="843"/>
      <c r="AJ302" s="843"/>
      <c r="AK302" s="843"/>
      <c r="AL302" s="843"/>
    </row>
    <row r="303" spans="1:49" s="8" customFormat="1" ht="14">
      <c r="A303" s="119"/>
      <c r="B303" s="14"/>
      <c r="C303" s="14"/>
      <c r="D303" s="22"/>
      <c r="E303" s="16"/>
      <c r="F303" s="14"/>
      <c r="G303" s="14"/>
      <c r="H303" s="14"/>
      <c r="I303" s="14"/>
      <c r="J303" s="14"/>
      <c r="K303" s="14"/>
      <c r="L303" s="14"/>
      <c r="M303" s="14"/>
      <c r="N303" s="14"/>
      <c r="O303" s="14"/>
      <c r="P303" s="14"/>
      <c r="Q303" s="14"/>
      <c r="R303" s="14"/>
      <c r="S303" s="14"/>
      <c r="T303" s="14"/>
      <c r="U303" s="14"/>
      <c r="V303" s="14"/>
      <c r="W303" s="14"/>
      <c r="X303" s="14"/>
      <c r="Y303" s="14"/>
      <c r="Z303" s="14"/>
      <c r="AA303" s="14"/>
      <c r="AB303" s="836"/>
      <c r="AC303" s="843"/>
      <c r="AD303" s="843"/>
      <c r="AE303" s="843"/>
      <c r="AF303" s="843"/>
      <c r="AG303" s="843"/>
      <c r="AH303" s="843"/>
      <c r="AI303" s="843"/>
      <c r="AJ303" s="843"/>
      <c r="AK303" s="843"/>
      <c r="AL303" s="843"/>
    </row>
    <row r="304" spans="1:49" s="8" customFormat="1" ht="15">
      <c r="A304" s="119"/>
      <c r="B304" s="14"/>
      <c r="C304" s="14"/>
      <c r="D304" s="14"/>
      <c r="E304" s="16"/>
      <c r="F304" s="14"/>
      <c r="G304" s="14"/>
      <c r="H304" s="14"/>
      <c r="I304" s="14"/>
      <c r="J304" s="14"/>
      <c r="K304" s="14"/>
      <c r="L304" s="14"/>
      <c r="M304" s="14"/>
      <c r="N304" s="14"/>
      <c r="O304" s="14"/>
      <c r="P304" s="14"/>
      <c r="Q304" s="14"/>
      <c r="R304" s="14"/>
      <c r="S304" s="14"/>
      <c r="T304" s="14"/>
      <c r="U304" s="14"/>
      <c r="V304" s="14"/>
      <c r="W304" s="14"/>
      <c r="X304" s="14"/>
      <c r="Y304" s="14"/>
      <c r="Z304" s="14"/>
      <c r="AA304" s="14"/>
      <c r="AB304" s="844" t="s">
        <v>61</v>
      </c>
      <c r="AC304" s="845"/>
      <c r="AD304" s="845"/>
      <c r="AE304" s="846"/>
      <c r="AF304" s="846"/>
      <c r="AG304" s="846"/>
      <c r="AH304" s="846"/>
      <c r="AI304" s="846"/>
      <c r="AJ304" s="846"/>
      <c r="AK304" s="846"/>
      <c r="AL304" s="846"/>
    </row>
    <row r="305" spans="1:29" s="8" customFormat="1" ht="39" customHeight="1">
      <c r="A305" s="119"/>
      <c r="B305" s="6"/>
      <c r="C305" s="14"/>
    </row>
    <row r="306" spans="1:29" s="8" customFormat="1" ht="44" customHeight="1">
      <c r="A306" s="119"/>
      <c r="B306" s="23"/>
      <c r="C306" s="23"/>
    </row>
    <row r="307" spans="1:29" s="8" customFormat="1" ht="44" customHeight="1">
      <c r="A307" s="119"/>
      <c r="B307" s="6"/>
      <c r="C307" s="14"/>
      <c r="D307" s="1407" t="s">
        <v>472</v>
      </c>
      <c r="E307" s="1408"/>
      <c r="F307" s="1409"/>
      <c r="G307" s="1410" t="s">
        <v>477</v>
      </c>
      <c r="H307" s="1411"/>
      <c r="I307" s="1411"/>
      <c r="J307" s="1411"/>
      <c r="K307" s="1411"/>
      <c r="L307" s="1411"/>
      <c r="M307" s="1411"/>
      <c r="N307" s="1411"/>
      <c r="O307" s="1411"/>
      <c r="P307" s="1411"/>
      <c r="Q307" s="1411"/>
      <c r="R307" s="1411"/>
      <c r="S307" s="1411"/>
      <c r="T307" s="1411"/>
      <c r="U307" s="1411"/>
      <c r="V307" s="1411"/>
      <c r="W307" s="1411"/>
      <c r="X307" s="1411"/>
      <c r="Y307" s="1411"/>
      <c r="Z307" s="1411"/>
      <c r="AA307" s="1411"/>
      <c r="AB307" s="1411"/>
      <c r="AC307" s="1412"/>
    </row>
    <row r="308" spans="1:29" s="8" customFormat="1" ht="53" customHeight="1">
      <c r="A308" s="119"/>
      <c r="B308" s="23"/>
      <c r="C308" s="14"/>
      <c r="D308" s="1407" t="s">
        <v>473</v>
      </c>
      <c r="E308" s="1408"/>
      <c r="F308" s="1409"/>
      <c r="G308" s="1410" t="s">
        <v>478</v>
      </c>
      <c r="H308" s="1411"/>
      <c r="I308" s="1411"/>
      <c r="J308" s="1411"/>
      <c r="K308" s="1411"/>
      <c r="L308" s="1411"/>
      <c r="M308" s="1411"/>
      <c r="N308" s="1411"/>
      <c r="O308" s="1411"/>
      <c r="P308" s="1411"/>
      <c r="Q308" s="1411"/>
      <c r="R308" s="1411"/>
      <c r="S308" s="1411"/>
      <c r="T308" s="1411"/>
      <c r="U308" s="1411"/>
      <c r="V308" s="1411"/>
      <c r="W308" s="1411"/>
      <c r="X308" s="1411"/>
      <c r="Y308" s="1411"/>
      <c r="Z308" s="1411"/>
      <c r="AA308" s="1411"/>
      <c r="AB308" s="1411"/>
      <c r="AC308" s="1412"/>
    </row>
    <row r="309" spans="1:29" s="8" customFormat="1" ht="13">
      <c r="A309" s="119"/>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row>
    <row r="310" spans="1:29" s="8" customFormat="1" ht="13">
      <c r="A310" s="119"/>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row>
    <row r="311" spans="1:29" s="8" customFormat="1" ht="13">
      <c r="A311" s="119"/>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row>
    <row r="312" spans="1:29" s="8" customFormat="1" ht="13">
      <c r="A312" s="119"/>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row>
  </sheetData>
  <sheetProtection formatRows="0"/>
  <mergeCells count="38">
    <mergeCell ref="D174:F174"/>
    <mergeCell ref="G174:AC174"/>
    <mergeCell ref="D175:F175"/>
    <mergeCell ref="G175:AC175"/>
    <mergeCell ref="G50:AA50"/>
    <mergeCell ref="G51:AA51"/>
    <mergeCell ref="D133:F133"/>
    <mergeCell ref="G133:AC133"/>
    <mergeCell ref="D134:F134"/>
    <mergeCell ref="G90:AC90"/>
    <mergeCell ref="K19:V20"/>
    <mergeCell ref="D55:F55"/>
    <mergeCell ref="C19:E19"/>
    <mergeCell ref="D50:F50"/>
    <mergeCell ref="D51:F51"/>
    <mergeCell ref="D308:F308"/>
    <mergeCell ref="G308:AC308"/>
    <mergeCell ref="C226:E226"/>
    <mergeCell ref="D262:F262"/>
    <mergeCell ref="G262:AC262"/>
    <mergeCell ref="D263:F263"/>
    <mergeCell ref="G263:AC263"/>
    <mergeCell ref="D1:E1"/>
    <mergeCell ref="U1:V1"/>
    <mergeCell ref="C269:E269"/>
    <mergeCell ref="D307:F307"/>
    <mergeCell ref="G307:AC307"/>
    <mergeCell ref="C180:E180"/>
    <mergeCell ref="D219:F219"/>
    <mergeCell ref="G219:AC219"/>
    <mergeCell ref="D220:F220"/>
    <mergeCell ref="G220:AC220"/>
    <mergeCell ref="G134:AC134"/>
    <mergeCell ref="C139:E139"/>
    <mergeCell ref="D95:F95"/>
    <mergeCell ref="D89:F89"/>
    <mergeCell ref="G89:AC89"/>
    <mergeCell ref="D90:F90"/>
  </mergeCells>
  <hyperlinks>
    <hyperlink ref="Y95" location="'Sommaire Outil'!A1" display="retour sommaire" xr:uid="{19424D3B-C805-7B43-8173-142822995130}"/>
    <hyperlink ref="D1" location="'Bilan EGALIZ'!A1" display="BILAN EGALIZ" xr:uid="{05984FB3-6E00-E548-B5AF-1E4C18411645}"/>
    <hyperlink ref="U1" location="'Bilan EGALIZ'!A1" display="BILAN EGALIZ" xr:uid="{AE52779E-6D2D-2243-844C-B056BF6C37CB}"/>
    <hyperlink ref="U1:V1" location="DIAGNOSTIC!A1" display="BILAN EGALIZ" xr:uid="{CED0148A-9249-F642-B414-EC3633BE8A40}"/>
    <hyperlink ref="D1:E1" location="SOMMAIRE!A1" display="SOMMAIRE" xr:uid="{97C6B179-A3F1-744D-95AD-1C7ABDFE2D69}"/>
  </hyperlinks>
  <pageMargins left="0.78740157499999996" right="0.78740157499999996" top="0.984251969" bottom="0.984251969" header="0.5" footer="0.5"/>
  <pageSetup paperSize="9" orientation="landscape" horizontalDpi="4294967292" verticalDpi="4294967292"/>
  <headerFooter alignWithMargins="0"/>
  <drawing r:id="rId24"/>
  <extLst>
    <ext xmlns:x14="http://schemas.microsoft.com/office/spreadsheetml/2009/9/main" uri="{A8765BA9-456A-4dab-B4F3-ACF838C121DE}">
      <x14:slicerList>
        <x14:slicer r:id="rId25"/>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92D050"/>
  </sheetPr>
  <dimension ref="A1:CS315"/>
  <sheetViews>
    <sheetView showGridLines="0" workbookViewId="0">
      <pane ySplit="6" topLeftCell="A243" activePane="bottomLeft" state="frozen"/>
      <selection pane="bottomLeft" activeCell="D1" sqref="D1:E1"/>
    </sheetView>
  </sheetViews>
  <sheetFormatPr baseColWidth="10" defaultColWidth="11.83203125" defaultRowHeight="13"/>
  <cols>
    <col min="1" max="1" width="9.6640625" style="119" customWidth="1"/>
    <col min="2" max="2" width="3.6640625" style="14" customWidth="1"/>
    <col min="3" max="3" width="2.5" style="14" customWidth="1"/>
    <col min="4" max="4" width="29.33203125" style="14" bestFit="1" customWidth="1"/>
    <col min="5" max="5" width="11.33203125" style="14" customWidth="1"/>
    <col min="6" max="6" width="8.83203125" style="14" customWidth="1"/>
    <col min="7" max="7" width="10.83203125" style="14" bestFit="1" customWidth="1"/>
    <col min="8" max="8" width="7.33203125" style="14" customWidth="1"/>
    <col min="9" max="12" width="1.5" style="14" customWidth="1"/>
    <col min="13" max="13" width="4.83203125" style="14" customWidth="1"/>
    <col min="14" max="14" width="28" style="14" bestFit="1" customWidth="1"/>
    <col min="15" max="15" width="10.33203125" style="14" customWidth="1"/>
    <col min="16" max="16" width="8.6640625" style="14" customWidth="1"/>
    <col min="17" max="17" width="10.83203125" style="14" bestFit="1" customWidth="1"/>
    <col min="18" max="18" width="3.33203125" style="14" customWidth="1"/>
    <col min="19" max="19" width="0.1640625" style="14" customWidth="1"/>
    <col min="20" max="20" width="0.33203125" style="14" customWidth="1"/>
    <col min="21" max="22" width="0.1640625" style="14" customWidth="1"/>
    <col min="23" max="23" width="3.1640625" style="14" customWidth="1"/>
    <col min="24" max="24" width="28" style="14" bestFit="1" customWidth="1"/>
    <col min="25" max="25" width="20.6640625" style="14" bestFit="1" customWidth="1"/>
    <col min="26" max="26" width="6.6640625" style="14" bestFit="1" customWidth="1"/>
    <col min="27" max="27" width="10.83203125" style="14" bestFit="1" customWidth="1"/>
    <col min="28" max="28" width="9" customWidth="1"/>
    <col min="29" max="37" width="7.5" style="14" customWidth="1"/>
    <col min="38" max="38" width="8.83203125" style="14" customWidth="1"/>
    <col min="39" max="40" width="8.83203125" customWidth="1"/>
    <col min="41" max="41" width="7.5" customWidth="1"/>
    <col min="42" max="42" width="7.33203125" customWidth="1"/>
    <col min="43" max="43" width="7.83203125" hidden="1" customWidth="1"/>
    <col min="44" max="44" width="21.6640625" hidden="1" customWidth="1"/>
    <col min="45" max="45" width="23" hidden="1" customWidth="1"/>
    <col min="46" max="46" width="20" hidden="1" customWidth="1"/>
    <col min="47" max="47" width="21.1640625" hidden="1" customWidth="1"/>
    <col min="48" max="48" width="6.33203125" customWidth="1"/>
    <col min="49" max="49" width="9.6640625" customWidth="1"/>
    <col min="50" max="84" width="0.6640625" customWidth="1"/>
  </cols>
  <sheetData>
    <row r="1" spans="1:40" s="119" customFormat="1" ht="45" customHeight="1">
      <c r="B1" s="1153"/>
      <c r="C1" s="1153"/>
      <c r="D1" s="1295" t="s">
        <v>980</v>
      </c>
      <c r="E1" s="1295"/>
      <c r="F1" s="1163" t="s">
        <v>550</v>
      </c>
      <c r="G1" s="1153"/>
      <c r="H1" s="1153"/>
      <c r="I1" s="1153"/>
      <c r="J1" s="1153"/>
      <c r="K1" s="1153"/>
      <c r="L1" s="1153"/>
      <c r="M1" s="1153"/>
      <c r="N1" s="1153"/>
      <c r="O1" s="1153"/>
      <c r="P1" s="1153"/>
      <c r="Q1" s="1153"/>
      <c r="R1" s="1153"/>
      <c r="S1" s="1153"/>
      <c r="T1" s="1153"/>
      <c r="U1" s="1153"/>
      <c r="V1" s="1153"/>
      <c r="W1" s="1153"/>
      <c r="X1" s="1286" t="s">
        <v>382</v>
      </c>
      <c r="Y1" s="1286"/>
      <c r="Z1" s="1153"/>
      <c r="AA1" s="1153"/>
      <c r="AC1" s="1153"/>
      <c r="AD1" s="1153"/>
      <c r="AE1" s="1153"/>
      <c r="AF1" s="1153"/>
      <c r="AG1" s="1153"/>
      <c r="AH1" s="1153"/>
      <c r="AI1" s="1153"/>
      <c r="AJ1" s="1153"/>
      <c r="AK1" s="1153"/>
      <c r="AL1" s="1153"/>
    </row>
    <row r="2" spans="1:40" ht="30" customHeight="1"/>
    <row r="3" spans="1:40" ht="38" customHeight="1"/>
    <row r="4" spans="1:40" ht="42" customHeight="1"/>
    <row r="5" spans="1:40" ht="63" customHeight="1"/>
    <row r="6" spans="1:40" ht="13" customHeight="1">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row>
    <row r="7" spans="1:40" ht="64.5" customHeight="1">
      <c r="A7" s="118"/>
      <c r="B7" s="119"/>
      <c r="C7" s="119"/>
      <c r="D7" s="119"/>
      <c r="E7" s="239" t="s">
        <v>239</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row>
    <row r="8" spans="1:40">
      <c r="B8" s="3"/>
      <c r="C8" s="3"/>
      <c r="D8"/>
      <c r="E8" s="22"/>
      <c r="F8"/>
      <c r="G8"/>
      <c r="H8"/>
      <c r="I8"/>
      <c r="J8"/>
      <c r="K8"/>
      <c r="L8"/>
      <c r="M8"/>
      <c r="N8"/>
      <c r="O8"/>
      <c r="P8"/>
      <c r="Q8"/>
      <c r="R8"/>
      <c r="S8"/>
      <c r="T8"/>
      <c r="U8"/>
      <c r="V8"/>
      <c r="W8"/>
      <c r="X8"/>
      <c r="Y8"/>
      <c r="Z8"/>
      <c r="AA8"/>
      <c r="AC8"/>
      <c r="AD8"/>
      <c r="AE8"/>
      <c r="AF8"/>
      <c r="AG8"/>
      <c r="AH8"/>
      <c r="AI8"/>
      <c r="AJ8"/>
      <c r="AK8"/>
      <c r="AL8"/>
    </row>
    <row r="9" spans="1:40" ht="20">
      <c r="B9" s="3"/>
      <c r="C9" s="3"/>
      <c r="D9" s="430" t="s">
        <v>908</v>
      </c>
      <c r="W9" s="8"/>
      <c r="X9" s="8"/>
      <c r="Y9" s="8"/>
      <c r="Z9" s="8"/>
      <c r="AA9" s="8"/>
      <c r="AB9" s="8"/>
      <c r="AC9" s="8"/>
      <c r="AD9" s="8"/>
      <c r="AE9" s="8"/>
      <c r="AF9" s="8"/>
      <c r="AG9" s="8"/>
      <c r="AH9" s="8"/>
      <c r="AI9" s="8"/>
      <c r="AJ9" s="8"/>
      <c r="AK9"/>
      <c r="AL9"/>
    </row>
    <row r="10" spans="1:40">
      <c r="B10" s="3"/>
      <c r="C10" s="3"/>
      <c r="D10" s="6"/>
      <c r="W10" s="8"/>
      <c r="X10" s="8"/>
      <c r="Y10" s="8"/>
      <c r="Z10" s="8"/>
      <c r="AA10" s="8"/>
      <c r="AB10" s="8"/>
      <c r="AC10" s="8"/>
      <c r="AD10" s="8"/>
      <c r="AE10" s="8"/>
      <c r="AF10" s="8"/>
      <c r="AG10" s="8"/>
      <c r="AH10" s="8"/>
      <c r="AI10" s="8"/>
      <c r="AJ10" s="8"/>
      <c r="AK10"/>
      <c r="AL10"/>
    </row>
    <row r="11" spans="1:40">
      <c r="B11" s="3"/>
      <c r="C11" s="3"/>
      <c r="D11" s="1446" t="s">
        <v>217</v>
      </c>
      <c r="E11" s="1447"/>
      <c r="W11" s="8"/>
      <c r="X11" s="8"/>
      <c r="Y11" s="8"/>
      <c r="Z11" s="8"/>
      <c r="AA11" s="8"/>
      <c r="AB11" s="8"/>
      <c r="AC11" s="8"/>
      <c r="AD11" s="8"/>
      <c r="AE11" s="8"/>
      <c r="AF11" s="8"/>
      <c r="AG11" s="8"/>
      <c r="AH11" s="8"/>
      <c r="AI11" s="8"/>
      <c r="AJ11" s="8"/>
      <c r="AK11"/>
      <c r="AL11"/>
    </row>
    <row r="12" spans="1:40">
      <c r="B12" s="3"/>
      <c r="C12" s="3"/>
      <c r="D12" s="6" t="s">
        <v>909</v>
      </c>
      <c r="W12" s="8"/>
      <c r="X12" s="8"/>
      <c r="Y12" s="8"/>
      <c r="Z12" s="8"/>
      <c r="AA12" s="8"/>
      <c r="AB12" s="8"/>
      <c r="AC12" s="8"/>
      <c r="AD12" s="8"/>
      <c r="AE12" s="8"/>
      <c r="AF12" s="8"/>
      <c r="AG12" s="8"/>
      <c r="AH12" s="8"/>
      <c r="AI12" s="8"/>
      <c r="AJ12" s="8"/>
      <c r="AK12" s="8"/>
      <c r="AL12"/>
    </row>
    <row r="13" spans="1:40">
      <c r="B13" s="3"/>
      <c r="C13" s="3"/>
      <c r="D13"/>
      <c r="E13" s="22"/>
      <c r="F13"/>
      <c r="G13"/>
      <c r="H13"/>
      <c r="I13"/>
      <c r="J13"/>
      <c r="K13"/>
      <c r="L13"/>
      <c r="M13"/>
      <c r="N13"/>
      <c r="O13"/>
      <c r="P13"/>
      <c r="Q13"/>
      <c r="R13"/>
      <c r="S13"/>
      <c r="T13"/>
      <c r="U13"/>
      <c r="V13"/>
      <c r="W13"/>
      <c r="X13"/>
      <c r="Y13"/>
      <c r="Z13"/>
      <c r="AA13"/>
      <c r="AC13"/>
      <c r="AD13"/>
      <c r="AE13"/>
      <c r="AF13"/>
      <c r="AG13"/>
      <c r="AH13"/>
      <c r="AI13"/>
      <c r="AJ13"/>
      <c r="AK13"/>
      <c r="AL13"/>
    </row>
    <row r="14" spans="1:40">
      <c r="B14" s="3"/>
      <c r="C14" s="3"/>
      <c r="D14"/>
      <c r="E14" s="22"/>
      <c r="F14"/>
      <c r="G14"/>
      <c r="H14"/>
      <c r="I14"/>
      <c r="J14"/>
      <c r="K14"/>
      <c r="L14"/>
      <c r="M14"/>
      <c r="N14"/>
      <c r="O14"/>
      <c r="P14"/>
      <c r="Q14"/>
      <c r="R14"/>
      <c r="S14"/>
      <c r="T14"/>
      <c r="U14"/>
      <c r="V14"/>
      <c r="W14"/>
      <c r="X14"/>
      <c r="Y14"/>
      <c r="Z14"/>
      <c r="AA14"/>
      <c r="AC14"/>
      <c r="AD14"/>
      <c r="AE14"/>
      <c r="AF14"/>
      <c r="AG14"/>
      <c r="AH14"/>
      <c r="AI14"/>
      <c r="AJ14"/>
      <c r="AK14"/>
      <c r="AL14"/>
    </row>
    <row r="15" spans="1:40">
      <c r="B15" s="3"/>
      <c r="C15" s="3"/>
      <c r="H15" s="924" t="s">
        <v>432</v>
      </c>
      <c r="Z15" s="8"/>
      <c r="AA15" s="8"/>
      <c r="AB15" s="8"/>
      <c r="AC15" s="8"/>
      <c r="AD15" s="8"/>
      <c r="AE15" s="8"/>
      <c r="AF15" s="8"/>
      <c r="AG15" s="8"/>
      <c r="AH15" s="8"/>
      <c r="AI15" s="8"/>
      <c r="AJ15" s="8"/>
      <c r="AK15" s="8"/>
      <c r="AL15" s="8"/>
      <c r="AM15" s="8"/>
      <c r="AN15" s="8"/>
    </row>
    <row r="16" spans="1:40">
      <c r="B16" s="3"/>
      <c r="C16" s="3"/>
      <c r="R16" s="22"/>
      <c r="V16" s="8"/>
      <c r="W16" s="8"/>
    </row>
    <row r="17" spans="2:40">
      <c r="B17" s="3"/>
      <c r="C17" s="3"/>
      <c r="D17" s="70" t="s">
        <v>910</v>
      </c>
      <c r="E17" s="22"/>
      <c r="F17" s="22"/>
      <c r="G17" s="71"/>
      <c r="I17" s="78"/>
      <c r="J17" s="22"/>
      <c r="K17" s="70"/>
      <c r="L17" s="70"/>
      <c r="M17" s="70"/>
      <c r="N17" s="70" t="s">
        <v>911</v>
      </c>
      <c r="O17" s="925"/>
      <c r="P17" s="22"/>
      <c r="Q17" s="22"/>
      <c r="R17" s="22"/>
      <c r="V17" s="8"/>
      <c r="W17" s="8"/>
      <c r="X17" s="256" t="s">
        <v>912</v>
      </c>
      <c r="Y17" s="257"/>
      <c r="Z17" s="321" t="s">
        <v>432</v>
      </c>
      <c r="AA17" s="325"/>
      <c r="AB17" s="325"/>
      <c r="AC17" s="325"/>
      <c r="AD17" s="325"/>
      <c r="AE17" s="325"/>
      <c r="AF17" s="8"/>
      <c r="AG17" s="331" t="s">
        <v>913</v>
      </c>
      <c r="AH17" s="325"/>
      <c r="AI17" s="325"/>
      <c r="AJ17" s="325"/>
      <c r="AK17" s="325"/>
      <c r="AL17" s="325"/>
      <c r="AM17" s="8"/>
      <c r="AN17" s="8"/>
    </row>
    <row r="18" spans="2:40" ht="14">
      <c r="B18" s="3"/>
      <c r="C18" s="3"/>
      <c r="D18" s="240"/>
      <c r="E18" s="240"/>
      <c r="F18" s="240"/>
      <c r="G18" s="240"/>
      <c r="H18" s="22"/>
      <c r="I18" s="22"/>
      <c r="J18" s="22"/>
      <c r="K18" s="22"/>
      <c r="L18" s="22"/>
      <c r="M18" s="22"/>
      <c r="N18" s="72"/>
      <c r="O18" s="72"/>
      <c r="P18" s="22"/>
      <c r="Q18" s="22"/>
      <c r="R18" s="22"/>
      <c r="V18" s="8"/>
      <c r="W18" s="8"/>
      <c r="X18" s="325"/>
      <c r="Y18" s="325"/>
      <c r="Z18" s="917" t="s">
        <v>180</v>
      </c>
      <c r="AA18" s="325"/>
      <c r="AB18" s="325"/>
      <c r="AC18" s="325"/>
      <c r="AD18" s="325"/>
      <c r="AE18" s="325"/>
      <c r="AF18" s="8"/>
      <c r="AG18" s="321" t="s">
        <v>914</v>
      </c>
      <c r="AH18" s="325"/>
      <c r="AI18" s="325"/>
      <c r="AJ18" s="325"/>
      <c r="AK18" s="325"/>
      <c r="AL18" s="325"/>
      <c r="AM18" s="8"/>
      <c r="AN18" s="8"/>
    </row>
    <row r="19" spans="2:40" ht="14">
      <c r="B19" s="3"/>
      <c r="C19" s="3"/>
      <c r="D19" s="595" t="s">
        <v>925</v>
      </c>
      <c r="E19" s="595" t="s">
        <v>14</v>
      </c>
      <c r="F19" s="596"/>
      <c r="G19" s="597"/>
      <c r="H19" s="72"/>
      <c r="I19" s="72"/>
      <c r="J19" s="72"/>
      <c r="K19" s="22"/>
      <c r="L19" s="22"/>
      <c r="M19" s="22"/>
      <c r="N19" s="240"/>
      <c r="O19" s="240"/>
      <c r="P19" s="240"/>
      <c r="Q19" s="240"/>
      <c r="R19" s="22"/>
      <c r="V19" s="8"/>
      <c r="W19" s="8"/>
      <c r="X19" s="8"/>
      <c r="Y19" s="8"/>
      <c r="Z19" s="8"/>
      <c r="AA19" s="8"/>
      <c r="AB19" s="8"/>
      <c r="AC19" s="8"/>
      <c r="AD19" s="8"/>
      <c r="AE19" s="8"/>
      <c r="AF19" s="8"/>
      <c r="AG19" s="8"/>
      <c r="AH19" s="8"/>
      <c r="AI19" s="8"/>
      <c r="AJ19" s="8"/>
      <c r="AK19" s="8"/>
      <c r="AL19" s="8"/>
      <c r="AM19" s="8"/>
      <c r="AN19" s="8"/>
    </row>
    <row r="20" spans="2:40" ht="14">
      <c r="B20" s="3"/>
      <c r="C20" s="3"/>
      <c r="D20" s="595" t="s">
        <v>12</v>
      </c>
      <c r="E20" s="595" t="s">
        <v>27</v>
      </c>
      <c r="F20" s="954" t="s">
        <v>47</v>
      </c>
      <c r="G20" s="598" t="s">
        <v>235</v>
      </c>
      <c r="H20" s="72"/>
      <c r="I20" s="72"/>
      <c r="J20" s="72"/>
      <c r="K20" s="22"/>
      <c r="L20" s="22"/>
      <c r="M20" s="22"/>
      <c r="N20" s="595" t="s">
        <v>924</v>
      </c>
      <c r="O20" s="595" t="s">
        <v>14</v>
      </c>
      <c r="P20" s="596"/>
      <c r="Q20" s="597"/>
      <c r="R20" s="72"/>
      <c r="V20" s="8"/>
      <c r="W20" s="8"/>
      <c r="X20" s="918" t="s">
        <v>915</v>
      </c>
      <c r="Y20" s="1448" t="s">
        <v>916</v>
      </c>
      <c r="Z20" s="1448"/>
      <c r="AA20" s="1448" t="s">
        <v>917</v>
      </c>
      <c r="AB20" s="1448"/>
      <c r="AC20" s="1448" t="s">
        <v>918</v>
      </c>
      <c r="AD20" s="1448"/>
      <c r="AE20" s="8"/>
      <c r="AF20" s="8"/>
      <c r="AG20" s="321" t="s">
        <v>919</v>
      </c>
      <c r="AH20" s="321"/>
      <c r="AI20" s="321"/>
      <c r="AJ20" s="321"/>
      <c r="AK20" s="321"/>
      <c r="AL20" s="321"/>
      <c r="AM20" s="321"/>
      <c r="AN20" s="8"/>
    </row>
    <row r="21" spans="2:40">
      <c r="B21" s="3"/>
      <c r="C21" s="3"/>
      <c r="D21" s="595" t="s">
        <v>3</v>
      </c>
      <c r="E21" s="930">
        <v>7.181034482758621</v>
      </c>
      <c r="F21" s="978">
        <v>7.1228070175438596</v>
      </c>
      <c r="G21" s="931">
        <v>7.1618497109826587</v>
      </c>
      <c r="H21" s="72"/>
      <c r="I21" s="72"/>
      <c r="J21" s="72"/>
      <c r="K21" s="22"/>
      <c r="L21" s="22"/>
      <c r="M21" s="22"/>
      <c r="N21" s="595" t="s">
        <v>12</v>
      </c>
      <c r="O21" s="595" t="s">
        <v>47</v>
      </c>
      <c r="P21" s="954" t="s">
        <v>27</v>
      </c>
      <c r="Q21" s="598" t="s">
        <v>235</v>
      </c>
      <c r="R21" s="72"/>
      <c r="V21" s="8"/>
      <c r="W21" s="8"/>
      <c r="X21" s="919" t="s">
        <v>12</v>
      </c>
      <c r="Y21" s="920" t="s">
        <v>27</v>
      </c>
      <c r="Z21" s="920" t="s">
        <v>47</v>
      </c>
      <c r="AA21" s="920" t="s">
        <v>27</v>
      </c>
      <c r="AB21" s="920" t="s">
        <v>47</v>
      </c>
      <c r="AC21" s="920" t="s">
        <v>27</v>
      </c>
      <c r="AD21" s="313" t="s">
        <v>47</v>
      </c>
      <c r="AE21" s="8"/>
      <c r="AF21" s="8"/>
      <c r="AG21" s="8"/>
      <c r="AH21" s="8"/>
      <c r="AI21" s="8"/>
      <c r="AJ21" s="8"/>
      <c r="AK21" s="8"/>
      <c r="AL21" s="8"/>
      <c r="AM21" s="8"/>
      <c r="AN21" s="8"/>
    </row>
    <row r="22" spans="2:40">
      <c r="B22" s="3"/>
      <c r="C22" s="3"/>
      <c r="D22" s="601" t="s">
        <v>49</v>
      </c>
      <c r="E22" s="949">
        <v>7</v>
      </c>
      <c r="F22" s="979">
        <v>11.407407407407407</v>
      </c>
      <c r="G22" s="950">
        <v>10.4</v>
      </c>
      <c r="H22" s="72"/>
      <c r="I22" s="72"/>
      <c r="J22" s="72"/>
      <c r="K22" s="22"/>
      <c r="L22" s="22"/>
      <c r="M22" s="22"/>
      <c r="N22" s="595" t="s">
        <v>3</v>
      </c>
      <c r="O22" s="930">
        <v>406</v>
      </c>
      <c r="P22" s="978">
        <v>833</v>
      </c>
      <c r="Q22" s="931">
        <v>1239</v>
      </c>
      <c r="R22" s="72"/>
      <c r="V22" s="8"/>
      <c r="W22" s="8"/>
      <c r="X22" s="304" t="s">
        <v>920</v>
      </c>
      <c r="Y22" s="921"/>
      <c r="Z22" s="921"/>
      <c r="AA22" s="921"/>
      <c r="AB22" s="921"/>
      <c r="AC22" s="921"/>
      <c r="AD22" s="922"/>
      <c r="AE22" s="8"/>
      <c r="AF22" s="8"/>
      <c r="AG22" s="8"/>
      <c r="AH22" s="8"/>
      <c r="AI22" s="8"/>
      <c r="AJ22" s="8"/>
      <c r="AK22" s="8"/>
      <c r="AL22" s="8"/>
      <c r="AM22" s="8"/>
      <c r="AN22" s="8"/>
    </row>
    <row r="23" spans="2:40">
      <c r="B23" s="3"/>
      <c r="C23" s="3"/>
      <c r="D23" s="601" t="s">
        <v>50</v>
      </c>
      <c r="E23" s="949">
        <v>8.9090909090909083</v>
      </c>
      <c r="F23" s="979">
        <v>7.2121212121212119</v>
      </c>
      <c r="G23" s="950">
        <v>8.3434343434343443</v>
      </c>
      <c r="H23" s="72"/>
      <c r="I23" s="72"/>
      <c r="J23" s="72"/>
      <c r="K23" s="22"/>
      <c r="L23" s="22"/>
      <c r="M23" s="22"/>
      <c r="N23" s="601" t="s">
        <v>49</v>
      </c>
      <c r="O23" s="949">
        <v>308</v>
      </c>
      <c r="P23" s="979">
        <v>56</v>
      </c>
      <c r="Q23" s="950">
        <v>364</v>
      </c>
      <c r="R23" s="72"/>
      <c r="V23" s="8"/>
      <c r="W23" s="8"/>
      <c r="X23" s="304" t="s">
        <v>921</v>
      </c>
      <c r="Y23" s="921"/>
      <c r="Z23" s="921"/>
      <c r="AA23" s="921"/>
      <c r="AB23" s="921"/>
      <c r="AC23" s="921"/>
      <c r="AD23" s="922"/>
      <c r="AE23" s="8"/>
      <c r="AF23" s="8"/>
      <c r="AG23" s="8"/>
      <c r="AH23" s="8"/>
      <c r="AI23" s="8"/>
      <c r="AJ23" s="8"/>
      <c r="AK23" s="8"/>
      <c r="AL23" s="8"/>
      <c r="AM23" s="8"/>
      <c r="AN23" s="8"/>
    </row>
    <row r="24" spans="2:40" ht="14">
      <c r="B24" s="3"/>
      <c r="C24" s="3"/>
      <c r="D24" s="601" t="s">
        <v>51</v>
      </c>
      <c r="E24" s="949">
        <v>7.7</v>
      </c>
      <c r="F24" s="979">
        <v>4.666666666666667</v>
      </c>
      <c r="G24" s="950">
        <v>7</v>
      </c>
      <c r="H24" s="72"/>
      <c r="I24" s="72"/>
      <c r="J24" s="72"/>
      <c r="K24" s="22"/>
      <c r="L24" s="22"/>
      <c r="M24" s="22"/>
      <c r="N24" s="601" t="s">
        <v>50</v>
      </c>
      <c r="O24" s="949">
        <v>238</v>
      </c>
      <c r="P24" s="979">
        <v>588</v>
      </c>
      <c r="Q24" s="950">
        <v>826</v>
      </c>
      <c r="R24" s="72"/>
      <c r="V24" s="8"/>
      <c r="W24" s="8"/>
      <c r="X24" s="923" t="s">
        <v>308</v>
      </c>
      <c r="Y24" s="921"/>
      <c r="Z24" s="921"/>
      <c r="AA24" s="921"/>
      <c r="AB24" s="921"/>
      <c r="AC24" s="921"/>
      <c r="AD24" s="922"/>
      <c r="AE24" s="8"/>
      <c r="AF24" s="8"/>
      <c r="AG24" s="8"/>
      <c r="AH24" s="8"/>
      <c r="AI24" s="8"/>
      <c r="AJ24" s="8"/>
      <c r="AK24" s="8"/>
      <c r="AL24" s="8"/>
      <c r="AM24" s="8"/>
      <c r="AN24" s="8"/>
    </row>
    <row r="25" spans="2:40" ht="14">
      <c r="B25" s="3"/>
      <c r="D25" s="604" t="s">
        <v>235</v>
      </c>
      <c r="E25" s="932">
        <v>7.77</v>
      </c>
      <c r="F25" s="980">
        <v>8.0500000000000007</v>
      </c>
      <c r="G25" s="933">
        <v>7.875</v>
      </c>
      <c r="H25" s="72"/>
      <c r="I25" s="72"/>
      <c r="J25" s="72"/>
      <c r="K25" s="22"/>
      <c r="L25" s="22"/>
      <c r="M25" s="22"/>
      <c r="N25" s="601" t="s">
        <v>51</v>
      </c>
      <c r="O25" s="949">
        <v>14</v>
      </c>
      <c r="P25" s="979">
        <v>77</v>
      </c>
      <c r="Q25" s="950">
        <v>91</v>
      </c>
      <c r="R25" s="72"/>
      <c r="V25" s="8"/>
      <c r="W25" s="8"/>
      <c r="X25" s="923" t="s">
        <v>922</v>
      </c>
      <c r="Y25" s="921"/>
      <c r="Z25" s="921"/>
      <c r="AA25" s="921"/>
      <c r="AB25" s="921"/>
      <c r="AC25" s="921"/>
      <c r="AD25" s="922"/>
      <c r="AE25" s="8"/>
      <c r="AF25" s="8"/>
      <c r="AG25" s="8"/>
      <c r="AH25" s="8"/>
      <c r="AI25" s="8"/>
      <c r="AJ25" s="8"/>
      <c r="AK25" s="8"/>
      <c r="AL25" s="8"/>
      <c r="AM25" s="8"/>
      <c r="AN25" s="8"/>
    </row>
    <row r="26" spans="2:40" ht="14">
      <c r="B26" s="3"/>
      <c r="D26"/>
      <c r="E26"/>
      <c r="F26"/>
      <c r="G26"/>
      <c r="N26" s="604" t="s">
        <v>235</v>
      </c>
      <c r="O26" s="932">
        <v>966</v>
      </c>
      <c r="P26" s="980">
        <v>1554</v>
      </c>
      <c r="Q26" s="933">
        <v>2520</v>
      </c>
      <c r="R26" s="72"/>
      <c r="V26" s="8"/>
      <c r="W26" s="8"/>
      <c r="X26" s="918" t="s">
        <v>61</v>
      </c>
      <c r="Y26" s="921"/>
      <c r="Z26" s="921"/>
      <c r="AA26" s="921"/>
      <c r="AB26" s="921"/>
      <c r="AC26" s="921"/>
      <c r="AD26" s="922"/>
      <c r="AE26" s="8"/>
      <c r="AF26" s="8"/>
      <c r="AG26" s="8"/>
      <c r="AH26" s="8"/>
      <c r="AI26" s="8"/>
      <c r="AJ26" s="8"/>
      <c r="AK26" s="8"/>
      <c r="AL26" s="8"/>
      <c r="AM26" s="8"/>
      <c r="AN26" s="8"/>
    </row>
    <row r="27" spans="2:40">
      <c r="B27" s="3"/>
      <c r="C27" s="3"/>
      <c r="D27"/>
      <c r="E27"/>
      <c r="F27"/>
      <c r="G27"/>
      <c r="H27"/>
      <c r="I27"/>
      <c r="J27"/>
      <c r="N27"/>
      <c r="O27"/>
      <c r="P27"/>
      <c r="Q27"/>
      <c r="R27"/>
      <c r="V27" s="8"/>
      <c r="W27" s="8"/>
      <c r="X27" s="926"/>
      <c r="Y27" s="926"/>
      <c r="Z27" s="926"/>
      <c r="AA27" s="926"/>
      <c r="AB27" s="71"/>
      <c r="AC27" s="8"/>
      <c r="AD27" s="8"/>
      <c r="AE27" s="8"/>
      <c r="AF27" s="8"/>
      <c r="AG27" s="8"/>
      <c r="AH27" s="8"/>
      <c r="AI27" s="8"/>
      <c r="AJ27" s="8"/>
      <c r="AK27" s="8"/>
      <c r="AL27" s="8"/>
      <c r="AM27" s="8"/>
      <c r="AN27" s="8"/>
    </row>
    <row r="28" spans="2:40">
      <c r="B28" s="3"/>
      <c r="C28" s="3"/>
      <c r="D28"/>
      <c r="E28"/>
      <c r="F28"/>
      <c r="G28"/>
      <c r="H28"/>
      <c r="I28" s="25"/>
      <c r="N28"/>
      <c r="O28"/>
      <c r="P28"/>
      <c r="Q28"/>
      <c r="V28" s="8"/>
      <c r="W28" s="8"/>
      <c r="X28" s="71"/>
      <c r="Y28" s="71"/>
      <c r="Z28" s="71"/>
      <c r="AA28" s="71"/>
      <c r="AB28" s="71"/>
      <c r="AC28" s="8"/>
      <c r="AD28" s="8"/>
      <c r="AE28" s="8"/>
      <c r="AF28" s="8"/>
      <c r="AG28" s="8"/>
      <c r="AH28" s="8"/>
      <c r="AI28" s="8"/>
      <c r="AJ28" s="8"/>
      <c r="AK28" s="8"/>
      <c r="AL28" s="8"/>
      <c r="AM28" s="8"/>
      <c r="AN28" s="8"/>
    </row>
    <row r="29" spans="2:40">
      <c r="B29" s="3"/>
      <c r="C29" s="3"/>
      <c r="D29"/>
      <c r="E29"/>
      <c r="F29"/>
      <c r="G29"/>
      <c r="H29"/>
      <c r="N29"/>
      <c r="O29"/>
      <c r="P29"/>
      <c r="Q29"/>
      <c r="V29" s="8"/>
      <c r="W29" s="8"/>
      <c r="X29" s="71"/>
      <c r="Y29" s="71"/>
      <c r="Z29" s="71"/>
      <c r="AA29" s="71"/>
      <c r="AB29" s="71"/>
      <c r="AC29" s="8"/>
      <c r="AD29" s="8"/>
      <c r="AE29" s="8"/>
      <c r="AF29" s="8"/>
      <c r="AG29" s="8"/>
      <c r="AH29" s="8"/>
      <c r="AI29" s="8"/>
      <c r="AJ29" s="8"/>
      <c r="AK29" s="8"/>
      <c r="AL29" s="8"/>
      <c r="AM29" s="8"/>
      <c r="AN29" s="8"/>
    </row>
    <row r="30" spans="2:40">
      <c r="B30" s="3"/>
      <c r="C30" s="3"/>
      <c r="D30"/>
      <c r="E30"/>
      <c r="F30"/>
      <c r="G30"/>
      <c r="H30"/>
      <c r="N30"/>
      <c r="O30"/>
      <c r="P30"/>
      <c r="Q30"/>
      <c r="V30" s="8"/>
      <c r="W30" s="8"/>
      <c r="AB30" s="71"/>
      <c r="AC30" s="8"/>
      <c r="AD30" s="8"/>
      <c r="AE30" s="8"/>
      <c r="AF30" s="8"/>
      <c r="AG30" s="8"/>
      <c r="AH30" s="8"/>
      <c r="AI30" s="8"/>
      <c r="AJ30" s="8"/>
      <c r="AK30" s="8"/>
      <c r="AL30" s="8"/>
      <c r="AM30" s="8"/>
      <c r="AN30" s="8"/>
    </row>
    <row r="31" spans="2:40">
      <c r="B31" s="3"/>
      <c r="C31" s="3"/>
      <c r="D31"/>
      <c r="E31"/>
      <c r="F31"/>
      <c r="G31"/>
      <c r="H31"/>
      <c r="N31"/>
      <c r="O31"/>
      <c r="P31"/>
      <c r="Q31"/>
      <c r="V31" s="8"/>
      <c r="W31" s="8"/>
      <c r="AB31" s="8"/>
      <c r="AC31" s="8"/>
      <c r="AD31" s="8"/>
      <c r="AE31" s="8"/>
      <c r="AF31" s="8"/>
      <c r="AG31" s="8"/>
      <c r="AH31" s="8"/>
      <c r="AI31" s="8"/>
      <c r="AJ31" s="8"/>
      <c r="AK31" s="8"/>
      <c r="AL31" s="8"/>
      <c r="AM31" s="8"/>
      <c r="AN31" s="8"/>
    </row>
    <row r="32" spans="2:40">
      <c r="B32" s="3"/>
      <c r="C32" s="3"/>
      <c r="N32"/>
      <c r="O32"/>
      <c r="P32"/>
      <c r="Q32"/>
      <c r="V32" s="8"/>
      <c r="W32" s="8"/>
      <c r="AB32" s="8"/>
      <c r="AC32" s="8"/>
      <c r="AD32" s="8"/>
      <c r="AE32" s="8"/>
      <c r="AF32" s="8"/>
      <c r="AG32" s="8"/>
      <c r="AH32" s="8"/>
      <c r="AI32" s="8"/>
      <c r="AJ32" s="8"/>
      <c r="AK32" s="8"/>
      <c r="AL32" s="8"/>
      <c r="AM32" s="8"/>
      <c r="AN32" s="8"/>
    </row>
    <row r="33" spans="2:40">
      <c r="B33" s="3"/>
      <c r="C33" s="3"/>
      <c r="V33" s="8"/>
      <c r="W33" s="8"/>
      <c r="AB33" s="8"/>
      <c r="AC33" s="8"/>
      <c r="AD33" s="8"/>
      <c r="AE33" s="8"/>
      <c r="AF33" s="8"/>
      <c r="AG33" s="8"/>
      <c r="AH33" s="8"/>
      <c r="AI33" s="8"/>
      <c r="AJ33" s="8"/>
      <c r="AK33" s="8"/>
      <c r="AL33" s="8"/>
      <c r="AM33" s="8"/>
      <c r="AN33" s="8"/>
    </row>
    <row r="34" spans="2:40">
      <c r="B34" s="3"/>
      <c r="C34" s="3"/>
      <c r="V34" s="8"/>
      <c r="W34" s="8"/>
      <c r="AB34" s="8"/>
      <c r="AC34" s="8"/>
      <c r="AD34" s="8"/>
      <c r="AE34" s="8"/>
      <c r="AF34" s="8"/>
      <c r="AG34" s="8"/>
      <c r="AH34" s="8"/>
      <c r="AI34" s="8"/>
      <c r="AJ34" s="8"/>
      <c r="AK34" s="8"/>
      <c r="AL34" s="8"/>
      <c r="AM34" s="8"/>
      <c r="AN34" s="8"/>
    </row>
    <row r="35" spans="2:40">
      <c r="B35" s="3"/>
      <c r="C35" s="3"/>
      <c r="V35" s="8"/>
      <c r="W35" s="8"/>
      <c r="AB35" s="8"/>
      <c r="AC35" s="8"/>
      <c r="AD35" s="8"/>
      <c r="AE35" s="8"/>
      <c r="AF35" s="8"/>
      <c r="AG35" s="8"/>
      <c r="AH35" s="8"/>
      <c r="AI35" s="8"/>
      <c r="AJ35" s="8"/>
      <c r="AK35" s="8"/>
      <c r="AL35" s="8"/>
      <c r="AM35" s="8"/>
      <c r="AN35" s="8"/>
    </row>
    <row r="36" spans="2:40">
      <c r="B36" s="3"/>
      <c r="C36" s="3"/>
      <c r="V36" s="8"/>
      <c r="W36" s="8"/>
      <c r="AB36" s="8"/>
      <c r="AC36" s="8"/>
      <c r="AD36" s="8"/>
      <c r="AE36" s="8"/>
      <c r="AF36" s="8"/>
      <c r="AG36" s="8"/>
      <c r="AH36" s="8"/>
      <c r="AI36" s="8"/>
      <c r="AJ36" s="8"/>
      <c r="AK36" s="8"/>
      <c r="AL36" s="8"/>
      <c r="AM36" s="8"/>
      <c r="AN36" s="8"/>
    </row>
    <row r="37" spans="2:40">
      <c r="B37" s="3"/>
      <c r="C37" s="3"/>
      <c r="V37" s="8"/>
      <c r="W37" s="8"/>
      <c r="AB37" s="8"/>
      <c r="AC37" s="8"/>
      <c r="AD37" s="8"/>
      <c r="AE37" s="8"/>
      <c r="AF37" s="8"/>
      <c r="AG37" s="8"/>
      <c r="AH37" s="8"/>
      <c r="AI37" s="8"/>
      <c r="AJ37" s="8"/>
      <c r="AK37" s="8"/>
      <c r="AL37" s="8"/>
      <c r="AM37" s="8"/>
      <c r="AN37" s="8"/>
    </row>
    <row r="38" spans="2:40">
      <c r="B38" s="3"/>
      <c r="C38" s="3"/>
      <c r="V38" s="8"/>
      <c r="W38" s="8"/>
      <c r="AB38" s="8"/>
      <c r="AC38" s="8"/>
      <c r="AD38" s="8"/>
      <c r="AE38" s="8"/>
      <c r="AF38" s="8"/>
      <c r="AG38" s="8"/>
      <c r="AH38" s="8"/>
      <c r="AI38" s="8"/>
      <c r="AJ38" s="8"/>
      <c r="AK38" s="8"/>
      <c r="AL38" s="8"/>
      <c r="AM38" s="8"/>
      <c r="AN38" s="8"/>
    </row>
    <row r="39" spans="2:40">
      <c r="B39" s="3"/>
      <c r="C39" s="3"/>
      <c r="V39" s="8"/>
      <c r="W39" s="8"/>
      <c r="AB39" s="8"/>
      <c r="AC39" s="8"/>
      <c r="AD39" s="8"/>
      <c r="AE39" s="8"/>
      <c r="AF39" s="8"/>
      <c r="AG39" s="8"/>
      <c r="AH39" s="8"/>
      <c r="AI39" s="8"/>
      <c r="AJ39" s="8"/>
      <c r="AK39" s="8"/>
      <c r="AL39" s="8"/>
      <c r="AM39" s="8"/>
      <c r="AN39" s="8"/>
    </row>
    <row r="40" spans="2:40">
      <c r="B40" s="3"/>
      <c r="C40" s="3"/>
      <c r="V40" s="8"/>
      <c r="W40" s="8"/>
      <c r="AB40" s="8"/>
      <c r="AC40" s="8"/>
      <c r="AD40" s="8"/>
      <c r="AE40" s="8"/>
      <c r="AF40" s="8"/>
      <c r="AG40" s="8"/>
      <c r="AH40" s="8"/>
      <c r="AI40" s="8"/>
      <c r="AJ40" s="8"/>
      <c r="AK40" s="8"/>
      <c r="AL40" s="8"/>
      <c r="AM40" s="8"/>
      <c r="AN40" s="8"/>
    </row>
    <row r="41" spans="2:40">
      <c r="B41" s="3"/>
      <c r="C41" s="3"/>
      <c r="V41" s="8"/>
      <c r="W41" s="8"/>
      <c r="AB41" s="8"/>
      <c r="AC41" s="8"/>
      <c r="AD41" s="8"/>
      <c r="AE41" s="8"/>
      <c r="AF41" s="8"/>
      <c r="AG41" s="8"/>
      <c r="AH41" s="8"/>
      <c r="AI41" s="8"/>
      <c r="AJ41" s="8"/>
      <c r="AK41" s="8"/>
      <c r="AL41" s="8"/>
      <c r="AM41" s="8"/>
      <c r="AN41" s="8"/>
    </row>
    <row r="42" spans="2:40">
      <c r="B42" s="3"/>
      <c r="C42" s="3"/>
      <c r="E42" s="16"/>
      <c r="V42" s="8"/>
      <c r="W42" s="8"/>
      <c r="AB42" s="8"/>
      <c r="AC42" s="8"/>
      <c r="AD42" s="8"/>
      <c r="AE42" s="8"/>
      <c r="AF42" s="8"/>
      <c r="AG42" s="8"/>
      <c r="AH42" s="8"/>
      <c r="AI42" s="8"/>
      <c r="AJ42" s="8"/>
      <c r="AK42" s="8"/>
      <c r="AL42" s="8"/>
      <c r="AM42" s="8"/>
      <c r="AN42" s="8"/>
    </row>
    <row r="43" spans="2:40">
      <c r="B43" s="3"/>
      <c r="C43" s="3"/>
      <c r="E43" s="16"/>
      <c r="V43" s="8"/>
      <c r="W43" s="8"/>
      <c r="AB43" s="8"/>
      <c r="AC43" s="8"/>
      <c r="AD43" s="8"/>
      <c r="AE43" s="8"/>
      <c r="AF43" s="8"/>
      <c r="AG43" s="8"/>
      <c r="AH43" s="8"/>
      <c r="AI43" s="8"/>
      <c r="AJ43" s="8"/>
      <c r="AK43" s="8"/>
      <c r="AL43" s="8"/>
      <c r="AM43" s="8"/>
      <c r="AN43" s="8"/>
    </row>
    <row r="44" spans="2:40">
      <c r="B44" s="3"/>
      <c r="C44" s="3"/>
      <c r="E44" s="16"/>
      <c r="V44" s="8"/>
      <c r="W44" s="8"/>
      <c r="X44"/>
      <c r="Y44"/>
      <c r="Z44"/>
      <c r="AA44" s="8"/>
      <c r="AB44" s="8"/>
      <c r="AC44" s="8"/>
      <c r="AD44" s="8"/>
      <c r="AE44" s="8"/>
      <c r="AF44" s="8"/>
      <c r="AG44" s="8"/>
      <c r="AH44" s="8"/>
      <c r="AI44" s="8"/>
      <c r="AJ44" s="8"/>
      <c r="AK44" s="8"/>
      <c r="AL44" s="8"/>
      <c r="AM44" s="8"/>
      <c r="AN44" s="8"/>
    </row>
    <row r="45" spans="2:40">
      <c r="B45" s="3"/>
      <c r="C45" s="3"/>
      <c r="E45" s="16"/>
      <c r="V45" s="8"/>
      <c r="W45" s="8"/>
      <c r="X45"/>
      <c r="Y45"/>
      <c r="Z45"/>
      <c r="AA45" s="8"/>
      <c r="AB45" s="8"/>
      <c r="AC45" s="8"/>
      <c r="AD45" s="8"/>
      <c r="AE45" s="8"/>
      <c r="AF45" s="8"/>
      <c r="AG45" s="8"/>
      <c r="AH45" s="8"/>
      <c r="AI45" s="8"/>
      <c r="AJ45" s="8"/>
      <c r="AK45" s="8"/>
      <c r="AL45" s="8"/>
      <c r="AM45" s="8"/>
      <c r="AN45" s="8"/>
    </row>
    <row r="46" spans="2:40">
      <c r="B46" s="3"/>
      <c r="C46" s="3"/>
      <c r="V46" s="8"/>
      <c r="W46" s="8"/>
      <c r="X46"/>
      <c r="Y46"/>
      <c r="Z46"/>
      <c r="AA46" s="8"/>
      <c r="AB46" s="8"/>
      <c r="AC46" s="8"/>
      <c r="AD46" s="8"/>
      <c r="AE46" s="8"/>
      <c r="AF46" s="8"/>
      <c r="AG46" s="8"/>
      <c r="AH46" s="8"/>
      <c r="AI46" s="8"/>
      <c r="AJ46" s="8"/>
      <c r="AK46" s="8"/>
      <c r="AL46" s="8"/>
      <c r="AM46" s="8"/>
      <c r="AN46" s="8"/>
    </row>
    <row r="47" spans="2:40">
      <c r="B47" s="3"/>
      <c r="C47" s="3"/>
      <c r="V47" s="8"/>
      <c r="W47" s="8"/>
      <c r="X47"/>
      <c r="Y47"/>
      <c r="Z47"/>
      <c r="AA47" s="8"/>
      <c r="AB47" s="8"/>
      <c r="AC47" s="8"/>
      <c r="AD47" s="8"/>
      <c r="AE47" s="8"/>
      <c r="AF47" s="8"/>
      <c r="AG47" s="8"/>
      <c r="AH47" s="8"/>
      <c r="AI47" s="8"/>
      <c r="AJ47" s="8"/>
      <c r="AK47" s="8"/>
      <c r="AL47" s="8"/>
      <c r="AM47" s="8"/>
      <c r="AN47" s="8"/>
    </row>
    <row r="48" spans="2:40" ht="36" customHeight="1">
      <c r="B48" s="3"/>
      <c r="C48" s="3"/>
      <c r="D48" s="1407" t="s">
        <v>472</v>
      </c>
      <c r="E48" s="1408"/>
      <c r="F48" s="1409"/>
      <c r="G48" s="1410" t="s">
        <v>477</v>
      </c>
      <c r="H48" s="1411"/>
      <c r="I48" s="1411"/>
      <c r="J48" s="1411"/>
      <c r="K48" s="1411"/>
      <c r="L48" s="1411"/>
      <c r="M48" s="1411"/>
      <c r="N48" s="1411"/>
      <c r="O48" s="1411"/>
      <c r="P48" s="1411"/>
      <c r="Q48" s="1411"/>
      <c r="R48" s="1411"/>
      <c r="S48" s="1411"/>
      <c r="T48" s="1411"/>
      <c r="U48" s="1411"/>
      <c r="V48" s="1411"/>
      <c r="W48" s="1411"/>
      <c r="X48" s="1411"/>
      <c r="Y48" s="1411"/>
      <c r="Z48" s="1411"/>
      <c r="AA48" s="1411"/>
      <c r="AB48" s="1411"/>
      <c r="AC48" s="1412"/>
      <c r="AD48" s="8"/>
      <c r="AE48" s="8"/>
      <c r="AF48" s="8"/>
      <c r="AG48" s="8"/>
      <c r="AH48" s="8"/>
      <c r="AI48" s="8"/>
      <c r="AJ48" s="8"/>
      <c r="AK48" s="8"/>
      <c r="AL48" s="8"/>
      <c r="AM48" s="8"/>
      <c r="AN48" s="8"/>
    </row>
    <row r="49" spans="1:97" ht="36" customHeight="1">
      <c r="B49" s="3"/>
      <c r="C49" s="3"/>
      <c r="D49" s="1407" t="s">
        <v>473</v>
      </c>
      <c r="E49" s="1408"/>
      <c r="F49" s="1409"/>
      <c r="G49" s="1410" t="s">
        <v>478</v>
      </c>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2"/>
      <c r="AD49" s="8"/>
      <c r="AE49" s="8"/>
      <c r="AF49" s="8"/>
      <c r="AG49" s="8"/>
      <c r="AH49" s="8"/>
      <c r="AI49" s="8"/>
      <c r="AJ49" s="8"/>
      <c r="AK49" s="8"/>
      <c r="AL49" s="8"/>
      <c r="AM49" s="8"/>
      <c r="AN49" s="8"/>
    </row>
    <row r="50" spans="1:97" ht="36" customHeight="1">
      <c r="B50" s="3"/>
      <c r="C50" s="3"/>
      <c r="D50" s="825"/>
      <c r="E50" s="826"/>
      <c r="F50" s="82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8"/>
      <c r="AE50" s="8"/>
      <c r="AF50" s="8"/>
      <c r="AG50" s="8"/>
      <c r="AH50" s="8"/>
      <c r="AI50" s="8"/>
      <c r="AJ50" s="8"/>
      <c r="AK50" s="8"/>
      <c r="AL50" s="8"/>
      <c r="AM50" s="8"/>
      <c r="AN50" s="8"/>
    </row>
    <row r="51" spans="1:97">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row>
    <row r="52" spans="1:97">
      <c r="B52" s="3"/>
      <c r="C52" s="3"/>
      <c r="D52"/>
      <c r="E52" s="22"/>
      <c r="F52"/>
      <c r="G52"/>
      <c r="H52"/>
      <c r="I52"/>
      <c r="J52"/>
      <c r="K52"/>
      <c r="L52"/>
      <c r="M52"/>
      <c r="N52"/>
      <c r="O52"/>
      <c r="P52"/>
      <c r="Q52"/>
      <c r="R52"/>
      <c r="S52"/>
      <c r="T52"/>
      <c r="U52"/>
      <c r="V52"/>
      <c r="W52"/>
      <c r="X52"/>
      <c r="Y52"/>
      <c r="Z52"/>
      <c r="AA52"/>
      <c r="AC52"/>
      <c r="AD52"/>
      <c r="AE52"/>
      <c r="AF52"/>
      <c r="AG52"/>
      <c r="AH52"/>
      <c r="AI52"/>
      <c r="AJ52"/>
      <c r="AK52"/>
      <c r="AL52"/>
    </row>
    <row r="53" spans="1:97" s="8" customFormat="1" ht="20">
      <c r="A53" s="119"/>
      <c r="B53" s="3"/>
      <c r="C53" s="430" t="s">
        <v>85</v>
      </c>
      <c r="D53" s="428"/>
      <c r="E53" s="14"/>
      <c r="F53" s="14"/>
      <c r="G53" s="14"/>
      <c r="H53" s="14"/>
      <c r="I53" s="14"/>
      <c r="J53" s="14"/>
      <c r="K53" s="14"/>
      <c r="L53" s="14"/>
      <c r="M53" s="14"/>
      <c r="N53" s="14"/>
      <c r="O53" s="14"/>
      <c r="P53" s="14"/>
      <c r="Q53" s="14"/>
      <c r="R53" s="14"/>
      <c r="S53" s="14"/>
      <c r="T53" s="14"/>
      <c r="U53" s="14"/>
      <c r="V53" s="14"/>
      <c r="W53" s="14"/>
      <c r="X53" s="75"/>
      <c r="Y53" s="14"/>
      <c r="Z53" s="14"/>
      <c r="AA53" s="14"/>
      <c r="AC53" s="319" t="s">
        <v>82</v>
      </c>
      <c r="AD53" s="320"/>
      <c r="AE53" s="321" t="s">
        <v>432</v>
      </c>
      <c r="AF53" s="326"/>
      <c r="AG53" s="326"/>
      <c r="AH53" s="320"/>
      <c r="AI53" s="22"/>
      <c r="AJ53" s="22"/>
      <c r="AL53" s="22"/>
      <c r="AM53" s="71"/>
      <c r="AN53" s="71"/>
      <c r="AO53" s="71"/>
      <c r="AP53" s="71"/>
      <c r="AQ53" s="71"/>
    </row>
    <row r="54" spans="1:97" s="8" customFormat="1" ht="6" customHeight="1">
      <c r="A54" s="119"/>
      <c r="B54" s="3"/>
      <c r="C54" s="6"/>
      <c r="D54" s="14"/>
      <c r="E54" s="14"/>
      <c r="F54" s="14"/>
      <c r="G54" s="14"/>
      <c r="H54" s="14"/>
      <c r="I54" s="14"/>
      <c r="J54" s="14"/>
      <c r="K54" s="14"/>
      <c r="L54" s="14"/>
      <c r="M54" s="14"/>
      <c r="N54" s="14"/>
      <c r="O54" s="14"/>
      <c r="P54" s="14"/>
      <c r="Q54" s="14"/>
      <c r="R54" s="14"/>
      <c r="S54" s="14"/>
      <c r="T54" s="14"/>
      <c r="U54" s="14"/>
      <c r="V54" s="14"/>
      <c r="W54" s="14"/>
      <c r="X54" s="14"/>
      <c r="Y54" s="14"/>
      <c r="Z54" s="14"/>
      <c r="AA54" s="14"/>
      <c r="AC54"/>
      <c r="AD54"/>
      <c r="AE54"/>
      <c r="AF54"/>
      <c r="AG54"/>
      <c r="AH54"/>
      <c r="AI54"/>
      <c r="AJ54"/>
      <c r="AK54"/>
      <c r="AL54"/>
      <c r="AM54"/>
      <c r="AN54"/>
      <c r="AO54"/>
      <c r="AP54"/>
      <c r="AQ54"/>
    </row>
    <row r="55" spans="1:97" s="8" customFormat="1">
      <c r="A55" s="119"/>
      <c r="B55" s="3"/>
      <c r="C55" s="1433" t="s">
        <v>217</v>
      </c>
      <c r="D55" s="1434"/>
      <c r="E55" s="1434"/>
      <c r="F55" s="14"/>
      <c r="G55" s="14"/>
      <c r="H55" s="14"/>
      <c r="I55" s="14"/>
      <c r="J55" s="14"/>
      <c r="K55" s="14"/>
      <c r="L55" s="14"/>
      <c r="M55" s="14"/>
      <c r="N55" s="14"/>
      <c r="O55" s="893"/>
      <c r="P55" s="893"/>
      <c r="Q55" s="893"/>
      <c r="R55" s="14"/>
      <c r="S55" s="14"/>
      <c r="T55" s="14"/>
      <c r="U55" s="14"/>
      <c r="V55" s="14"/>
      <c r="W55" s="14"/>
      <c r="Z55" s="14"/>
      <c r="AC55"/>
      <c r="AD55"/>
      <c r="AE55"/>
      <c r="AF55"/>
      <c r="AG55"/>
      <c r="AH55"/>
      <c r="AI55"/>
      <c r="AJ55"/>
      <c r="AK55"/>
      <c r="AL55"/>
      <c r="AM55"/>
      <c r="AN55"/>
      <c r="AO55"/>
      <c r="AP55"/>
      <c r="AQ55"/>
      <c r="AR55" s="71"/>
      <c r="AS55" s="71"/>
      <c r="AT55" s="71"/>
      <c r="AU55" s="71"/>
      <c r="AV55" s="71"/>
      <c r="AW55" s="71"/>
      <c r="AX55" s="71"/>
    </row>
    <row r="56" spans="1:97" s="8" customFormat="1">
      <c r="A56" s="119"/>
      <c r="B56" s="3"/>
      <c r="C56" s="6" t="s">
        <v>190</v>
      </c>
      <c r="D56" s="14"/>
      <c r="E56" s="14"/>
      <c r="F56" s="14"/>
      <c r="G56" s="14"/>
      <c r="H56" s="14"/>
      <c r="I56" s="14"/>
      <c r="J56" s="14"/>
      <c r="K56" s="14"/>
      <c r="L56" s="14"/>
      <c r="M56" s="14"/>
      <c r="N56" s="14"/>
      <c r="O56" s="14"/>
      <c r="P56" s="14"/>
      <c r="Q56" s="14"/>
      <c r="R56" s="14"/>
      <c r="S56" s="14"/>
      <c r="T56" s="14"/>
      <c r="U56" s="14"/>
      <c r="V56" s="14"/>
      <c r="W56" s="14"/>
      <c r="X56" s="14"/>
      <c r="Y56" s="14"/>
      <c r="Z56" s="14"/>
      <c r="AC56" s="588"/>
      <c r="AD56" s="588" t="s">
        <v>19</v>
      </c>
      <c r="AE56" s="589" t="s">
        <v>14</v>
      </c>
      <c r="AF56" s="589" t="s">
        <v>131</v>
      </c>
      <c r="AG56" s="589"/>
      <c r="AH56" s="589"/>
      <c r="AI56" s="589"/>
      <c r="AJ56" s="589"/>
      <c r="AK56" s="589"/>
      <c r="AL56" s="589"/>
      <c r="AM56" s="589"/>
      <c r="AN56" s="589"/>
      <c r="AO56" s="589"/>
      <c r="AP56" s="589"/>
      <c r="AQ56" s="590"/>
      <c r="AR56" s="71"/>
      <c r="AS56" s="71"/>
      <c r="AT56" s="71"/>
      <c r="AU56" s="71"/>
      <c r="AV56" s="71"/>
      <c r="AW56" s="71"/>
      <c r="AX56" s="71"/>
    </row>
    <row r="57" spans="1:97" s="8" customFormat="1">
      <c r="A57" s="119"/>
      <c r="B57" s="3"/>
      <c r="C57" s="6"/>
      <c r="D57" s="14"/>
      <c r="E57" s="14"/>
      <c r="F57" s="14"/>
      <c r="G57" s="14"/>
      <c r="H57" s="14"/>
      <c r="I57" s="14"/>
      <c r="J57" s="14"/>
      <c r="K57" s="14"/>
      <c r="L57" s="14"/>
      <c r="M57" s="14"/>
      <c r="N57" s="14"/>
      <c r="O57" s="14"/>
      <c r="P57" s="14"/>
      <c r="Q57" s="14"/>
      <c r="R57" s="14"/>
      <c r="S57" s="14"/>
      <c r="T57" s="14"/>
      <c r="U57" s="14"/>
      <c r="V57" s="14"/>
      <c r="W57" s="14"/>
      <c r="X57" s="14"/>
      <c r="Y57" s="14"/>
      <c r="Z57" s="14"/>
      <c r="AA57" s="14"/>
      <c r="AC57" s="607"/>
      <c r="AD57" s="900">
        <v>0</v>
      </c>
      <c r="AE57" s="901"/>
      <c r="AF57" s="901"/>
      <c r="AG57" s="901"/>
      <c r="AH57" s="588" t="s">
        <v>904</v>
      </c>
      <c r="AI57" s="588" t="s">
        <v>197</v>
      </c>
      <c r="AJ57" s="900">
        <v>1</v>
      </c>
      <c r="AK57" s="901"/>
      <c r="AL57" s="901"/>
      <c r="AM57" s="901"/>
      <c r="AN57" s="588" t="s">
        <v>905</v>
      </c>
      <c r="AO57" s="588" t="s">
        <v>198</v>
      </c>
      <c r="AP57" s="588" t="s">
        <v>906</v>
      </c>
      <c r="AQ57" s="592" t="s">
        <v>134</v>
      </c>
    </row>
    <row r="58" spans="1:97" s="8" customFormat="1" ht="19" customHeight="1">
      <c r="A58" s="119"/>
      <c r="B58" s="3"/>
      <c r="C58" s="359"/>
      <c r="D58" s="329" t="s">
        <v>433</v>
      </c>
      <c r="E58" s="330"/>
      <c r="F58" s="330"/>
      <c r="G58" s="330"/>
      <c r="H58" s="330"/>
      <c r="I58" s="330"/>
      <c r="J58" s="330"/>
      <c r="K58" s="14"/>
      <c r="L58" s="14"/>
      <c r="M58" s="14"/>
      <c r="N58" s="14"/>
      <c r="O58" s="14"/>
      <c r="P58" s="14"/>
      <c r="Q58" s="14"/>
      <c r="R58" s="14"/>
      <c r="S58" s="14"/>
      <c r="T58" s="14"/>
      <c r="U58" s="14"/>
      <c r="V58" s="14"/>
      <c r="W58" s="14"/>
      <c r="X58" s="14"/>
      <c r="Y58" s="14"/>
      <c r="Z58" s="14"/>
      <c r="AA58" s="14"/>
      <c r="AB58" s="71"/>
      <c r="AC58" s="607"/>
      <c r="AD58" s="588" t="s">
        <v>47</v>
      </c>
      <c r="AE58" s="589"/>
      <c r="AF58" s="588" t="s">
        <v>27</v>
      </c>
      <c r="AG58" s="589"/>
      <c r="AH58" s="607"/>
      <c r="AI58" s="607"/>
      <c r="AJ58" s="588" t="s">
        <v>47</v>
      </c>
      <c r="AK58" s="589"/>
      <c r="AL58" s="588" t="s">
        <v>27</v>
      </c>
      <c r="AM58" s="589"/>
      <c r="AN58" s="607"/>
      <c r="AO58" s="607"/>
      <c r="AP58" s="607"/>
      <c r="AQ58" s="608"/>
      <c r="AR58" s="71"/>
      <c r="AS58" s="71"/>
      <c r="AT58" s="71"/>
      <c r="AU58" s="71"/>
      <c r="AV58" s="71"/>
      <c r="AW58" s="71"/>
      <c r="AX58" s="71"/>
      <c r="AY58" s="71"/>
      <c r="AZ58" s="71"/>
      <c r="BA58" s="71"/>
      <c r="BB58" s="71"/>
      <c r="BC58" s="71"/>
      <c r="BD58" s="71"/>
      <c r="BE58" s="71"/>
      <c r="BF58" s="71"/>
      <c r="BG58" s="71"/>
      <c r="BH58" s="71"/>
    </row>
    <row r="59" spans="1:97" s="8" customFormat="1" ht="17" customHeight="1">
      <c r="A59" s="119"/>
      <c r="B59" s="3"/>
      <c r="C59" s="1437"/>
      <c r="D59" s="1438"/>
      <c r="E59" s="1438"/>
      <c r="F59" s="1438"/>
      <c r="G59" s="1438"/>
      <c r="H59" s="1438"/>
      <c r="I59" s="1438"/>
      <c r="J59" s="1438"/>
      <c r="K59" s="1438"/>
      <c r="L59" s="1438"/>
      <c r="M59" s="1438"/>
      <c r="N59" s="1438"/>
      <c r="O59" s="1438"/>
      <c r="P59" s="1438"/>
      <c r="Q59" s="1438"/>
      <c r="R59" s="1438"/>
      <c r="S59" s="1438"/>
      <c r="T59" s="1438"/>
      <c r="U59" s="1438"/>
      <c r="V59" s="1438"/>
      <c r="W59" s="1438"/>
      <c r="X59" s="14"/>
      <c r="Y59" s="14"/>
      <c r="Z59" s="14"/>
      <c r="AA59" s="14"/>
      <c r="AB59" s="71"/>
      <c r="AC59" s="588" t="s">
        <v>12</v>
      </c>
      <c r="AD59" s="588" t="s">
        <v>907</v>
      </c>
      <c r="AE59" s="591" t="s">
        <v>132</v>
      </c>
      <c r="AF59" s="588" t="s">
        <v>907</v>
      </c>
      <c r="AG59" s="591" t="s">
        <v>132</v>
      </c>
      <c r="AH59" s="607"/>
      <c r="AI59" s="607"/>
      <c r="AJ59" s="588" t="s">
        <v>907</v>
      </c>
      <c r="AK59" s="591" t="s">
        <v>132</v>
      </c>
      <c r="AL59" s="588" t="s">
        <v>907</v>
      </c>
      <c r="AM59" s="591" t="s">
        <v>132</v>
      </c>
      <c r="AN59" s="607"/>
      <c r="AO59" s="607"/>
      <c r="AP59" s="607"/>
      <c r="AQ59" s="608"/>
      <c r="AR59" s="73"/>
      <c r="AS59" s="73"/>
      <c r="AT59" s="73"/>
      <c r="AU59" s="73"/>
      <c r="AV59" s="73"/>
      <c r="AW59" s="73"/>
      <c r="AX59" s="73"/>
      <c r="AY59" s="71"/>
      <c r="AZ59" s="71"/>
      <c r="BA59" s="71"/>
      <c r="BB59" s="71"/>
      <c r="BC59" s="71"/>
      <c r="BD59" s="71"/>
      <c r="BE59" s="71"/>
      <c r="BF59" s="71"/>
      <c r="BG59" s="71"/>
      <c r="BH59" s="71"/>
    </row>
    <row r="60" spans="1:97" s="8" customFormat="1" ht="14">
      <c r="A60" s="119"/>
      <c r="B60" s="3"/>
      <c r="C60" s="77"/>
      <c r="D60" s="14"/>
      <c r="E60" s="14"/>
      <c r="F60" s="14"/>
      <c r="G60" s="14"/>
      <c r="H60" s="14"/>
      <c r="I60" s="14"/>
      <c r="J60" s="14"/>
      <c r="K60" s="14"/>
      <c r="L60" s="14"/>
      <c r="M60" s="14"/>
      <c r="N60" s="14"/>
      <c r="O60" s="14"/>
      <c r="P60" s="14"/>
      <c r="Q60" s="14"/>
      <c r="R60" s="14"/>
      <c r="S60" s="14"/>
      <c r="T60" s="14"/>
      <c r="U60" s="14"/>
      <c r="V60" s="14"/>
      <c r="W60" s="14"/>
      <c r="X60" s="14"/>
      <c r="Y60" s="14"/>
      <c r="AC60" s="588" t="s">
        <v>3</v>
      </c>
      <c r="AD60" s="816">
        <v>32</v>
      </c>
      <c r="AE60" s="873">
        <v>0.18497109826589594</v>
      </c>
      <c r="AF60" s="816">
        <v>69</v>
      </c>
      <c r="AG60" s="873">
        <v>0.39884393063583817</v>
      </c>
      <c r="AH60" s="816">
        <v>101</v>
      </c>
      <c r="AI60" s="874">
        <v>0.58381502890173409</v>
      </c>
      <c r="AJ60" s="816">
        <v>25</v>
      </c>
      <c r="AK60" s="873">
        <v>0.14450867052023122</v>
      </c>
      <c r="AL60" s="816">
        <v>47</v>
      </c>
      <c r="AM60" s="873">
        <v>0.27167630057803466</v>
      </c>
      <c r="AN60" s="816">
        <v>72</v>
      </c>
      <c r="AO60" s="874">
        <v>0.41618497109826591</v>
      </c>
      <c r="AP60" s="816">
        <v>173</v>
      </c>
      <c r="AQ60" s="875">
        <v>1</v>
      </c>
      <c r="AR60" s="72"/>
      <c r="AS60" s="72"/>
      <c r="AT60" s="72"/>
      <c r="AU60" s="72"/>
      <c r="AV60" s="65"/>
      <c r="AW60" s="65"/>
      <c r="AX60" s="65"/>
    </row>
    <row r="61" spans="1:97" s="8" customFormat="1" ht="14">
      <c r="A61" s="119"/>
      <c r="B61" s="3"/>
      <c r="C61" s="6"/>
      <c r="D61" s="14"/>
      <c r="E61" s="14"/>
      <c r="F61" s="14"/>
      <c r="G61" s="14"/>
      <c r="H61" s="14"/>
      <c r="I61" s="14"/>
      <c r="J61" s="14"/>
      <c r="K61" s="14"/>
      <c r="L61" s="14"/>
      <c r="M61" s="14"/>
      <c r="N61" s="14"/>
      <c r="O61" s="14"/>
      <c r="P61" s="14"/>
      <c r="Q61" s="14"/>
      <c r="R61" s="14"/>
      <c r="S61" s="14"/>
      <c r="T61" s="14"/>
      <c r="U61" s="14"/>
      <c r="V61" s="14"/>
      <c r="W61" s="14"/>
      <c r="X61" s="14"/>
      <c r="Y61" s="14"/>
      <c r="Z61" s="14"/>
      <c r="AA61" s="14"/>
      <c r="AB61" s="71"/>
      <c r="AC61" s="934" t="s">
        <v>49</v>
      </c>
      <c r="AD61" s="942">
        <v>9</v>
      </c>
      <c r="AE61" s="943">
        <v>0.25714285714285712</v>
      </c>
      <c r="AF61" s="942">
        <v>8</v>
      </c>
      <c r="AG61" s="943">
        <v>0.22857142857142856</v>
      </c>
      <c r="AH61" s="942">
        <v>17</v>
      </c>
      <c r="AI61" s="944">
        <v>0.48571428571428571</v>
      </c>
      <c r="AJ61" s="942">
        <v>18</v>
      </c>
      <c r="AK61" s="943">
        <v>0.51428571428571423</v>
      </c>
      <c r="AL61" s="942"/>
      <c r="AM61" s="943">
        <v>0</v>
      </c>
      <c r="AN61" s="942">
        <v>18</v>
      </c>
      <c r="AO61" s="944">
        <v>0.51428571428571423</v>
      </c>
      <c r="AP61" s="942">
        <v>35</v>
      </c>
      <c r="AQ61" s="945">
        <v>1</v>
      </c>
      <c r="AR61" s="185"/>
      <c r="AS61" s="185"/>
      <c r="AT61" s="185"/>
      <c r="AU61" s="185"/>
      <c r="AV61" s="881"/>
      <c r="AW61" s="881"/>
      <c r="AX61" s="881"/>
      <c r="AY61" s="71"/>
      <c r="AZ61" s="71"/>
      <c r="BA61" s="71"/>
      <c r="BB61" s="71"/>
      <c r="BC61" s="71"/>
      <c r="BD61" s="71"/>
      <c r="BE61" s="71"/>
      <c r="BF61" s="71"/>
      <c r="BG61" s="71"/>
      <c r="BH61" s="71"/>
    </row>
    <row r="62" spans="1:97" s="8" customFormat="1" ht="14">
      <c r="A62" s="119"/>
      <c r="B62" s="3"/>
      <c r="C62" s="14"/>
      <c r="D62" s="6" t="s">
        <v>69</v>
      </c>
      <c r="E62" s="14"/>
      <c r="F62" s="14"/>
      <c r="G62" s="28"/>
      <c r="H62" s="27"/>
      <c r="I62" s="27"/>
      <c r="J62" s="14"/>
      <c r="K62" s="14"/>
      <c r="L62" s="14"/>
      <c r="M62" s="6"/>
      <c r="N62" s="6" t="s">
        <v>70</v>
      </c>
      <c r="O62" s="16"/>
      <c r="P62" s="14"/>
      <c r="Q62" s="14"/>
      <c r="R62" s="14"/>
      <c r="S62" s="14"/>
      <c r="T62" s="14"/>
      <c r="U62" s="14"/>
      <c r="V62" s="14"/>
      <c r="W62" s="14"/>
      <c r="X62" s="63" t="s">
        <v>86</v>
      </c>
      <c r="Y62" s="25"/>
      <c r="Z62" s="25"/>
      <c r="AA62" s="14"/>
      <c r="AB62" s="71"/>
      <c r="AC62" s="934" t="s">
        <v>50</v>
      </c>
      <c r="AD62" s="942">
        <v>16</v>
      </c>
      <c r="AE62" s="943">
        <v>0.16161616161616163</v>
      </c>
      <c r="AF62" s="942">
        <v>36</v>
      </c>
      <c r="AG62" s="943">
        <v>0.36363636363636365</v>
      </c>
      <c r="AH62" s="942">
        <v>52</v>
      </c>
      <c r="AI62" s="944">
        <v>0.5252525252525253</v>
      </c>
      <c r="AJ62" s="942">
        <v>17</v>
      </c>
      <c r="AK62" s="943">
        <v>0.17171717171717171</v>
      </c>
      <c r="AL62" s="942">
        <v>30</v>
      </c>
      <c r="AM62" s="943">
        <v>0.30303030303030304</v>
      </c>
      <c r="AN62" s="942">
        <v>47</v>
      </c>
      <c r="AO62" s="944">
        <v>0.47474747474747475</v>
      </c>
      <c r="AP62" s="942">
        <v>99</v>
      </c>
      <c r="AQ62" s="945">
        <v>1</v>
      </c>
      <c r="AR62" s="185"/>
      <c r="AS62" s="185"/>
      <c r="AT62" s="185"/>
      <c r="AU62" s="185"/>
      <c r="AV62" s="881"/>
      <c r="AW62" s="881"/>
      <c r="AX62" s="881"/>
      <c r="AY62" s="73"/>
      <c r="AZ62" s="73"/>
      <c r="BA62" s="73"/>
      <c r="BB62" s="73"/>
      <c r="BC62" s="73"/>
      <c r="BD62" s="73"/>
      <c r="BE62" s="73"/>
      <c r="BF62" s="73"/>
      <c r="BG62" s="73"/>
      <c r="BH62" s="73"/>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97" s="8" customFormat="1" ht="14">
      <c r="A63" s="119"/>
      <c r="B63" s="14"/>
      <c r="C63" s="14"/>
      <c r="D63"/>
      <c r="E63"/>
      <c r="F63" s="25"/>
      <c r="G63" s="25"/>
      <c r="H63" s="25"/>
      <c r="I63" s="25"/>
      <c r="J63" s="14"/>
      <c r="K63" s="14"/>
      <c r="L63" s="14"/>
      <c r="M63" s="14"/>
      <c r="N63"/>
      <c r="O63"/>
      <c r="P63" s="14"/>
      <c r="Q63" s="14"/>
      <c r="R63" s="14"/>
      <c r="S63" s="14"/>
      <c r="T63" s="14"/>
      <c r="U63" s="14"/>
      <c r="V63" s="14"/>
      <c r="W63" s="14"/>
      <c r="X63"/>
      <c r="Y63"/>
      <c r="Z63" s="25"/>
      <c r="AA63" s="25"/>
      <c r="AB63" s="71"/>
      <c r="AC63" s="934" t="s">
        <v>51</v>
      </c>
      <c r="AD63" s="938">
        <v>3</v>
      </c>
      <c r="AE63" s="939">
        <v>0.23076923076923078</v>
      </c>
      <c r="AF63" s="938">
        <v>4</v>
      </c>
      <c r="AG63" s="939">
        <v>0.30769230769230771</v>
      </c>
      <c r="AH63" s="938">
        <v>7</v>
      </c>
      <c r="AI63" s="940">
        <v>0.53846153846153844</v>
      </c>
      <c r="AJ63" s="938"/>
      <c r="AK63" s="939">
        <v>0</v>
      </c>
      <c r="AL63" s="938">
        <v>6</v>
      </c>
      <c r="AM63" s="939">
        <v>0.46153846153846156</v>
      </c>
      <c r="AN63" s="938">
        <v>6</v>
      </c>
      <c r="AO63" s="940">
        <v>0.46153846153846156</v>
      </c>
      <c r="AP63" s="938">
        <v>13</v>
      </c>
      <c r="AQ63" s="941">
        <v>1</v>
      </c>
      <c r="AR63" s="185"/>
      <c r="AS63" s="185"/>
      <c r="AT63" s="185"/>
      <c r="AU63" s="185"/>
      <c r="AV63" s="881"/>
      <c r="AW63" s="881"/>
      <c r="AX63" s="881"/>
      <c r="AY63" s="65"/>
      <c r="AZ63" s="65"/>
      <c r="BA63" s="65"/>
      <c r="BB63" s="65"/>
      <c r="BC63" s="65"/>
      <c r="BD63" s="65"/>
      <c r="BE63" s="65"/>
      <c r="BF63" s="65"/>
      <c r="BG63" s="65"/>
      <c r="BH63" s="65"/>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O63" s="829"/>
      <c r="CP63" s="829"/>
      <c r="CQ63" s="829"/>
      <c r="CR63" s="829"/>
      <c r="CS63" s="829"/>
    </row>
    <row r="64" spans="1:97" s="829" customFormat="1" ht="14">
      <c r="A64" s="124"/>
      <c r="B64" s="89"/>
      <c r="C64" s="89"/>
      <c r="D64" s="240"/>
      <c r="E64" s="240"/>
      <c r="F64" s="240"/>
      <c r="G64" s="240"/>
      <c r="H64" s="240"/>
      <c r="I64" s="240"/>
      <c r="J64" s="89"/>
      <c r="K64" s="89"/>
      <c r="L64" s="89"/>
      <c r="M64" s="89"/>
      <c r="N64" s="89"/>
      <c r="O64" s="89"/>
      <c r="P64" s="89"/>
      <c r="Q64" s="89"/>
      <c r="R64" s="89"/>
      <c r="S64" s="89"/>
      <c r="T64" s="89"/>
      <c r="U64" s="89"/>
      <c r="V64" s="89"/>
      <c r="W64" s="89"/>
      <c r="X64" s="240"/>
      <c r="Y64" s="240"/>
      <c r="Z64" s="240"/>
      <c r="AA64" s="240"/>
      <c r="AB64" s="880"/>
      <c r="AC64" s="593" t="s">
        <v>235</v>
      </c>
      <c r="AD64" s="594">
        <v>60</v>
      </c>
      <c r="AE64" s="609">
        <v>0.1875</v>
      </c>
      <c r="AF64" s="594">
        <v>117</v>
      </c>
      <c r="AG64" s="609">
        <v>0.36562499999999998</v>
      </c>
      <c r="AH64" s="594">
        <v>177</v>
      </c>
      <c r="AI64" s="610">
        <v>0.55312499999999998</v>
      </c>
      <c r="AJ64" s="594">
        <v>60</v>
      </c>
      <c r="AK64" s="609">
        <v>0.1875</v>
      </c>
      <c r="AL64" s="594">
        <v>83</v>
      </c>
      <c r="AM64" s="609">
        <v>0.25937500000000002</v>
      </c>
      <c r="AN64" s="594">
        <v>143</v>
      </c>
      <c r="AO64" s="610">
        <v>0.44687500000000002</v>
      </c>
      <c r="AP64" s="594">
        <v>320</v>
      </c>
      <c r="AQ64" s="611">
        <v>1</v>
      </c>
      <c r="AR64" s="185"/>
      <c r="AS64" s="185"/>
      <c r="AT64" s="185"/>
      <c r="AU64" s="185"/>
      <c r="AV64" s="883"/>
      <c r="AW64" s="883"/>
      <c r="AX64" s="883"/>
      <c r="AY64" s="881"/>
      <c r="AZ64" s="881"/>
      <c r="BA64" s="881"/>
      <c r="BB64" s="881"/>
      <c r="BC64" s="881"/>
      <c r="BD64" s="881"/>
      <c r="BE64" s="881"/>
      <c r="BF64" s="881"/>
      <c r="BG64" s="881"/>
      <c r="BH64" s="881"/>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row>
    <row r="65" spans="1:97" s="829" customFormat="1" ht="14">
      <c r="A65" s="124"/>
      <c r="B65" s="89"/>
      <c r="C65" s="89"/>
      <c r="D65" s="595" t="s">
        <v>13</v>
      </c>
      <c r="E65" s="595" t="s">
        <v>14</v>
      </c>
      <c r="F65" s="596"/>
      <c r="G65" s="597"/>
      <c r="H65" s="44"/>
      <c r="I65" s="240"/>
      <c r="J65" s="89"/>
      <c r="K65" s="89"/>
      <c r="L65" s="89"/>
      <c r="M65" s="89"/>
      <c r="N65" s="568" t="s">
        <v>13</v>
      </c>
      <c r="O65" s="568" t="s">
        <v>14</v>
      </c>
      <c r="P65" s="569"/>
      <c r="Q65" s="570"/>
      <c r="R65" s="44"/>
      <c r="S65" s="89"/>
      <c r="T65" s="89"/>
      <c r="U65" s="89"/>
      <c r="V65" s="89"/>
      <c r="W65" s="89"/>
      <c r="X65" s="595" t="s">
        <v>903</v>
      </c>
      <c r="Y65" s="595" t="s">
        <v>19</v>
      </c>
      <c r="Z65" s="596"/>
      <c r="AA65" s="597"/>
      <c r="AB65" s="880"/>
      <c r="AC65"/>
      <c r="AD65"/>
      <c r="AE65"/>
      <c r="AF65"/>
      <c r="AG65"/>
      <c r="AH65"/>
      <c r="AI65"/>
      <c r="AJ65"/>
      <c r="AK65"/>
      <c r="AL65"/>
      <c r="AM65"/>
      <c r="AN65"/>
      <c r="AO65"/>
      <c r="AP65"/>
      <c r="AQ65"/>
      <c r="AR65" s="185"/>
      <c r="AS65" s="185"/>
      <c r="AT65" s="185"/>
      <c r="AU65" s="185"/>
      <c r="AV65" s="883"/>
      <c r="AW65" s="883"/>
      <c r="AX65" s="883"/>
      <c r="AY65" s="881"/>
      <c r="AZ65" s="881"/>
      <c r="BA65" s="881"/>
      <c r="BB65" s="881"/>
      <c r="BC65" s="881"/>
      <c r="BD65" s="881"/>
      <c r="BE65" s="881"/>
      <c r="BF65" s="881"/>
      <c r="BG65" s="881"/>
      <c r="BH65" s="881"/>
      <c r="BI65" s="882"/>
      <c r="BJ65" s="882"/>
      <c r="BK65" s="882"/>
      <c r="BL65" s="882"/>
      <c r="BM65" s="882"/>
      <c r="BN65" s="882"/>
      <c r="BO65" s="882"/>
      <c r="BP65" s="882"/>
      <c r="BQ65" s="882"/>
      <c r="BR65" s="882"/>
      <c r="BS65" s="882"/>
      <c r="BT65" s="882"/>
      <c r="BU65" s="882"/>
      <c r="BV65" s="882"/>
      <c r="BW65" s="882"/>
      <c r="BX65" s="882"/>
      <c r="BY65" s="882"/>
      <c r="BZ65" s="882"/>
      <c r="CA65" s="882"/>
      <c r="CB65" s="882"/>
      <c r="CC65" s="882"/>
      <c r="CD65" s="882"/>
      <c r="CE65" s="882"/>
      <c r="CF65" s="882"/>
    </row>
    <row r="66" spans="1:97" s="829" customFormat="1" ht="14">
      <c r="A66" s="124"/>
      <c r="B66" s="89"/>
      <c r="C66" s="89"/>
      <c r="D66" s="595" t="s">
        <v>19</v>
      </c>
      <c r="E66" s="595" t="s">
        <v>27</v>
      </c>
      <c r="F66" s="954" t="s">
        <v>47</v>
      </c>
      <c r="G66" s="598" t="s">
        <v>235</v>
      </c>
      <c r="H66" s="44"/>
      <c r="I66" s="240"/>
      <c r="J66" s="89"/>
      <c r="K66" s="89"/>
      <c r="L66" s="89"/>
      <c r="M66" s="89"/>
      <c r="N66" s="568" t="s">
        <v>19</v>
      </c>
      <c r="O66" s="571" t="s">
        <v>27</v>
      </c>
      <c r="P66" s="572" t="s">
        <v>47</v>
      </c>
      <c r="Q66" s="583" t="s">
        <v>235</v>
      </c>
      <c r="R66" s="44"/>
      <c r="S66" s="89"/>
      <c r="T66" s="89"/>
      <c r="U66" s="89"/>
      <c r="V66" s="89"/>
      <c r="W66" s="89"/>
      <c r="X66" s="595" t="s">
        <v>14</v>
      </c>
      <c r="Y66" s="894">
        <v>0</v>
      </c>
      <c r="Z66" s="895">
        <v>1</v>
      </c>
      <c r="AA66" s="598" t="s">
        <v>235</v>
      </c>
      <c r="AB66" s="880"/>
      <c r="AC66"/>
      <c r="AD66"/>
      <c r="AE66"/>
      <c r="AF66"/>
      <c r="AG66"/>
      <c r="AH66"/>
      <c r="AI66"/>
      <c r="AJ66"/>
      <c r="AK66"/>
      <c r="AL66"/>
      <c r="AM66"/>
      <c r="AN66"/>
      <c r="AO66"/>
      <c r="AP66"/>
      <c r="AQ66"/>
      <c r="AR66" s="185"/>
      <c r="AS66" s="185"/>
      <c r="AT66" s="185"/>
      <c r="AU66" s="185"/>
      <c r="AV66" s="883"/>
      <c r="AW66" s="883"/>
      <c r="AX66" s="883"/>
      <c r="AY66" s="881"/>
      <c r="AZ66" s="881"/>
      <c r="BA66" s="881"/>
      <c r="BB66" s="881"/>
      <c r="BC66" s="881"/>
      <c r="BD66" s="881"/>
      <c r="BE66" s="881"/>
      <c r="BF66" s="881"/>
      <c r="BG66" s="881"/>
      <c r="BH66" s="881"/>
      <c r="BI66" s="882"/>
      <c r="BJ66" s="882"/>
      <c r="BK66" s="882"/>
      <c r="BL66" s="882"/>
      <c r="BM66" s="882"/>
      <c r="BN66" s="882"/>
      <c r="BO66" s="882"/>
      <c r="BP66" s="882"/>
      <c r="BQ66" s="882"/>
      <c r="BR66" s="882"/>
      <c r="BS66" s="882"/>
      <c r="BT66" s="882"/>
      <c r="BU66" s="882"/>
      <c r="BV66" s="882"/>
      <c r="BW66" s="882"/>
      <c r="BX66" s="882"/>
      <c r="BY66" s="882"/>
      <c r="BZ66" s="882"/>
      <c r="CA66" s="882"/>
      <c r="CB66" s="882"/>
      <c r="CC66" s="882"/>
      <c r="CD66" s="882"/>
      <c r="CE66" s="882"/>
      <c r="CF66" s="882"/>
      <c r="CO66" s="8"/>
      <c r="CP66" s="8"/>
      <c r="CQ66" s="8"/>
      <c r="CR66" s="8"/>
      <c r="CS66" s="8"/>
    </row>
    <row r="67" spans="1:97" s="829" customFormat="1" ht="14">
      <c r="A67" s="124"/>
      <c r="B67" s="89"/>
      <c r="C67" s="89"/>
      <c r="D67" s="898">
        <v>0</v>
      </c>
      <c r="E67" s="599">
        <v>117</v>
      </c>
      <c r="F67" s="955">
        <v>60</v>
      </c>
      <c r="G67" s="600">
        <v>177</v>
      </c>
      <c r="H67" s="44"/>
      <c r="I67" s="240"/>
      <c r="J67" s="89"/>
      <c r="K67" s="89"/>
      <c r="L67" s="89"/>
      <c r="M67" s="89"/>
      <c r="N67" s="896">
        <v>0</v>
      </c>
      <c r="O67" s="579">
        <v>0.66101694915254239</v>
      </c>
      <c r="P67" s="961">
        <v>0.33898305084745761</v>
      </c>
      <c r="Q67" s="584">
        <v>1</v>
      </c>
      <c r="R67" s="44"/>
      <c r="S67" s="89"/>
      <c r="T67" s="89"/>
      <c r="U67" s="89"/>
      <c r="V67" s="89"/>
      <c r="W67" s="89"/>
      <c r="X67" s="595" t="s">
        <v>47</v>
      </c>
      <c r="Y67" s="612">
        <v>0.5</v>
      </c>
      <c r="Z67" s="613">
        <v>0.5</v>
      </c>
      <c r="AA67" s="614">
        <v>1</v>
      </c>
      <c r="AB67" s="880"/>
      <c r="AC67"/>
      <c r="AD67"/>
      <c r="AE67"/>
      <c r="AF67"/>
      <c r="AG67"/>
      <c r="AH67"/>
      <c r="AI67"/>
      <c r="AJ67"/>
      <c r="AK67"/>
      <c r="AL67"/>
      <c r="AM67"/>
      <c r="AN67"/>
      <c r="AO67"/>
      <c r="AP67"/>
      <c r="AQ67"/>
      <c r="AR67" s="72"/>
      <c r="AS67" s="72"/>
      <c r="AT67" s="72"/>
      <c r="AU67" s="72"/>
      <c r="AV67" s="74"/>
      <c r="AW67" s="74"/>
      <c r="AX67" s="74"/>
      <c r="AY67" s="883"/>
      <c r="AZ67" s="883"/>
      <c r="BA67" s="883"/>
      <c r="BB67" s="883"/>
      <c r="BC67" s="883"/>
      <c r="BD67" s="883"/>
      <c r="BE67" s="883"/>
      <c r="BF67" s="883"/>
      <c r="BG67" s="883"/>
      <c r="BH67" s="883"/>
      <c r="BI67" s="884"/>
      <c r="BJ67" s="884"/>
      <c r="BK67" s="884"/>
      <c r="BL67" s="884"/>
      <c r="BM67" s="884"/>
      <c r="BN67" s="884"/>
      <c r="BO67" s="884"/>
      <c r="BP67" s="884"/>
      <c r="BQ67" s="884"/>
      <c r="BR67" s="884"/>
      <c r="BS67" s="884"/>
      <c r="BT67" s="884"/>
      <c r="BU67" s="884"/>
      <c r="BV67" s="884"/>
      <c r="BW67" s="884"/>
      <c r="BX67" s="884"/>
      <c r="BY67" s="884"/>
      <c r="BZ67" s="884"/>
      <c r="CA67" s="884"/>
      <c r="CB67" s="884"/>
      <c r="CC67" s="884"/>
      <c r="CD67" s="884"/>
      <c r="CE67" s="884"/>
      <c r="CF67" s="884"/>
      <c r="CO67" s="8"/>
      <c r="CP67" s="8"/>
      <c r="CQ67" s="8"/>
      <c r="CR67" s="8"/>
      <c r="CS67" s="8"/>
    </row>
    <row r="68" spans="1:97" s="829" customFormat="1" ht="14">
      <c r="A68" s="124"/>
      <c r="B68" s="89"/>
      <c r="C68" s="89"/>
      <c r="D68" s="899">
        <v>1</v>
      </c>
      <c r="E68" s="602">
        <v>83</v>
      </c>
      <c r="F68" s="956">
        <v>60</v>
      </c>
      <c r="G68" s="603">
        <v>143</v>
      </c>
      <c r="H68" s="44"/>
      <c r="I68" s="240"/>
      <c r="J68" s="89"/>
      <c r="K68" s="89"/>
      <c r="L68" s="89"/>
      <c r="M68" s="89"/>
      <c r="N68" s="897">
        <v>1</v>
      </c>
      <c r="O68" s="580">
        <v>0.58041958041958042</v>
      </c>
      <c r="P68" s="965">
        <v>0.41958041958041958</v>
      </c>
      <c r="Q68" s="585">
        <v>1</v>
      </c>
      <c r="R68" s="44"/>
      <c r="S68" s="89"/>
      <c r="T68" s="89"/>
      <c r="U68" s="89"/>
      <c r="V68" s="89"/>
      <c r="W68" s="89"/>
      <c r="X68" s="601" t="s">
        <v>27</v>
      </c>
      <c r="Y68" s="972">
        <v>0.58499999999999996</v>
      </c>
      <c r="Z68" s="973">
        <v>0.41499999999999998</v>
      </c>
      <c r="AA68" s="974">
        <v>1</v>
      </c>
      <c r="AB68" s="880"/>
      <c r="AC68"/>
      <c r="AD68"/>
      <c r="AE68"/>
      <c r="AF68"/>
      <c r="AG68"/>
      <c r="AH68"/>
      <c r="AI68"/>
      <c r="AJ68"/>
      <c r="AK68"/>
      <c r="AL68"/>
      <c r="AM68"/>
      <c r="AN68"/>
      <c r="AO68"/>
      <c r="AP68"/>
      <c r="AQ68"/>
      <c r="AR68" s="72"/>
      <c r="AS68" s="72"/>
      <c r="AT68" s="72"/>
      <c r="AU68" s="72"/>
      <c r="AV68" s="74"/>
      <c r="AW68" s="74"/>
      <c r="AX68" s="74"/>
      <c r="AY68" s="883"/>
      <c r="AZ68" s="883"/>
      <c r="BA68" s="883"/>
      <c r="BB68" s="883"/>
      <c r="BC68" s="883"/>
      <c r="BD68" s="883"/>
      <c r="BE68" s="883"/>
      <c r="BF68" s="883"/>
      <c r="BG68" s="883"/>
      <c r="BH68" s="883"/>
      <c r="BI68" s="884"/>
      <c r="BJ68" s="884"/>
      <c r="BK68" s="884"/>
      <c r="BL68" s="884"/>
      <c r="BM68" s="884"/>
      <c r="BN68" s="884"/>
      <c r="BO68" s="884"/>
      <c r="BP68" s="884"/>
      <c r="BQ68" s="884"/>
      <c r="BR68" s="884"/>
      <c r="BS68" s="884"/>
      <c r="BT68" s="884"/>
      <c r="BU68" s="884"/>
      <c r="BV68" s="884"/>
      <c r="BW68" s="884"/>
      <c r="BX68" s="884"/>
      <c r="BY68" s="884"/>
      <c r="BZ68" s="884"/>
      <c r="CA68" s="884"/>
      <c r="CB68" s="884"/>
      <c r="CC68" s="884"/>
      <c r="CD68" s="884"/>
      <c r="CE68" s="884"/>
      <c r="CF68" s="884"/>
      <c r="CO68" s="8"/>
      <c r="CP68" s="8"/>
      <c r="CQ68" s="8"/>
      <c r="CR68" s="8"/>
      <c r="CS68" s="8"/>
    </row>
    <row r="69" spans="1:97" s="829" customFormat="1" ht="14">
      <c r="A69" s="124"/>
      <c r="B69" s="89"/>
      <c r="C69" s="89"/>
      <c r="D69" s="604" t="s">
        <v>235</v>
      </c>
      <c r="E69" s="605">
        <v>200</v>
      </c>
      <c r="F69" s="957">
        <v>120</v>
      </c>
      <c r="G69" s="606">
        <v>320</v>
      </c>
      <c r="H69" s="44"/>
      <c r="I69" s="240"/>
      <c r="J69" s="89"/>
      <c r="K69" s="89"/>
      <c r="L69" s="89"/>
      <c r="M69" s="89"/>
      <c r="N69" s="576" t="s">
        <v>235</v>
      </c>
      <c r="O69" s="581">
        <v>0.625</v>
      </c>
      <c r="P69" s="962">
        <v>0.375</v>
      </c>
      <c r="Q69" s="586">
        <v>1</v>
      </c>
      <c r="R69" s="44"/>
      <c r="S69" s="89"/>
      <c r="T69" s="89"/>
      <c r="U69" s="89"/>
      <c r="V69" s="89"/>
      <c r="W69" s="89"/>
      <c r="X69" s="604" t="s">
        <v>235</v>
      </c>
      <c r="Y69" s="615">
        <v>0.55312499999999998</v>
      </c>
      <c r="Z69" s="616">
        <v>0.44687500000000002</v>
      </c>
      <c r="AA69" s="617">
        <v>1</v>
      </c>
      <c r="AB69" s="880"/>
      <c r="AC69"/>
      <c r="AD69"/>
      <c r="AE69"/>
      <c r="AF69"/>
      <c r="AG69"/>
      <c r="AH69"/>
      <c r="AI69"/>
      <c r="AJ69"/>
      <c r="AK69"/>
      <c r="AL69"/>
      <c r="AM69"/>
      <c r="AN69"/>
      <c r="AO69"/>
      <c r="AP69"/>
      <c r="AQ69"/>
      <c r="AR69" s="279"/>
      <c r="AS69" s="279"/>
      <c r="AT69" s="279"/>
      <c r="AU69" s="279"/>
      <c r="AV69" s="279"/>
      <c r="AW69" s="279"/>
      <c r="AX69" s="883"/>
      <c r="AY69" s="883"/>
      <c r="AZ69" s="883"/>
      <c r="BA69" s="883"/>
      <c r="BB69" s="883"/>
      <c r="BC69" s="883"/>
      <c r="BD69" s="884"/>
      <c r="BE69" s="884"/>
      <c r="BF69" s="884"/>
      <c r="BG69" s="884"/>
      <c r="BH69" s="884"/>
      <c r="BI69" s="884"/>
      <c r="BJ69" s="884"/>
      <c r="BK69" s="884"/>
      <c r="BL69" s="884"/>
      <c r="BM69" s="884"/>
      <c r="BN69" s="884"/>
      <c r="BO69" s="884"/>
      <c r="BP69" s="884"/>
      <c r="BQ69" s="884"/>
      <c r="BR69" s="884"/>
      <c r="BS69" s="884"/>
      <c r="BT69" s="884"/>
      <c r="BU69" s="884"/>
      <c r="BV69" s="884"/>
      <c r="BW69" s="884"/>
      <c r="BX69" s="884"/>
      <c r="BY69" s="884"/>
      <c r="BZ69" s="884"/>
      <c r="CA69" s="884"/>
      <c r="CJ69" s="8"/>
      <c r="CK69" s="8"/>
      <c r="CL69" s="8"/>
      <c r="CM69" s="8"/>
      <c r="CN69" s="8"/>
    </row>
    <row r="70" spans="1:97" s="8" customFormat="1">
      <c r="A70" s="119"/>
      <c r="B70" s="14"/>
      <c r="C70" s="14"/>
      <c r="D70"/>
      <c r="E70"/>
      <c r="F70"/>
      <c r="G70"/>
      <c r="H70"/>
      <c r="I70" s="25"/>
      <c r="J70" s="14"/>
      <c r="K70" s="14"/>
      <c r="L70" s="14"/>
      <c r="M70" s="14"/>
      <c r="N70"/>
      <c r="O70"/>
      <c r="P70"/>
      <c r="Q70"/>
      <c r="R70"/>
      <c r="S70" s="14"/>
      <c r="T70" s="14"/>
      <c r="U70" s="14"/>
      <c r="V70" s="14"/>
      <c r="W70" s="14"/>
      <c r="X70"/>
      <c r="Y70"/>
      <c r="Z70"/>
      <c r="AA70"/>
      <c r="AB70" s="71"/>
      <c r="AC70"/>
      <c r="AD70"/>
      <c r="AE70"/>
      <c r="AF70"/>
      <c r="AG70"/>
      <c r="AH70"/>
      <c r="AI70"/>
      <c r="AJ70"/>
      <c r="AK70"/>
      <c r="AL70"/>
      <c r="AM70"/>
      <c r="AN70"/>
      <c r="AO70"/>
      <c r="AP70"/>
      <c r="AQ70"/>
      <c r="AR70" s="71"/>
      <c r="AS70" s="71"/>
      <c r="AT70" s="74"/>
      <c r="AU70" s="74"/>
      <c r="AV70" s="74"/>
      <c r="AW70" s="74"/>
      <c r="AX70" s="74"/>
      <c r="AY70" s="74"/>
      <c r="AZ70" s="74"/>
      <c r="BA70" s="74"/>
      <c r="BB70" s="74"/>
      <c r="BC70" s="74"/>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row>
    <row r="71" spans="1:97" s="8" customFormat="1" ht="15">
      <c r="A71" s="119"/>
      <c r="B71" s="14"/>
      <c r="C71" s="14"/>
      <c r="D71"/>
      <c r="E71"/>
      <c r="F71"/>
      <c r="G71"/>
      <c r="H71" s="25"/>
      <c r="I71" s="25"/>
      <c r="J71" s="14"/>
      <c r="K71" s="14"/>
      <c r="L71" s="14"/>
      <c r="M71" s="14"/>
      <c r="N71"/>
      <c r="O71"/>
      <c r="P71"/>
      <c r="Q71"/>
      <c r="R71" s="14"/>
      <c r="S71" s="14"/>
      <c r="T71" s="14"/>
      <c r="U71" s="14"/>
      <c r="V71" s="14"/>
      <c r="W71" s="14"/>
      <c r="X71"/>
      <c r="Y71"/>
      <c r="Z71"/>
      <c r="AA71"/>
      <c r="AB71" s="71"/>
      <c r="AC71" s="885" t="s">
        <v>309</v>
      </c>
      <c r="AD71" s="886">
        <v>2019</v>
      </c>
      <c r="AE71" s="887">
        <v>2013</v>
      </c>
      <c r="AF71" s="888">
        <f>AD71-AE71</f>
        <v>6</v>
      </c>
      <c r="AG71" s="889" t="s">
        <v>310</v>
      </c>
      <c r="AH71" s="890">
        <v>2019</v>
      </c>
      <c r="AI71" s="891">
        <v>2015</v>
      </c>
      <c r="AJ71" s="887">
        <f>AH71-AI71</f>
        <v>4</v>
      </c>
      <c r="AK71"/>
      <c r="AL71" s="269" t="s">
        <v>180</v>
      </c>
      <c r="AM71" s="279"/>
      <c r="AN71" s="320"/>
      <c r="AO71" s="325"/>
      <c r="AP71" s="71"/>
      <c r="AQ71" s="71"/>
      <c r="AR71" s="71"/>
      <c r="AS71" s="71"/>
      <c r="AT71" s="74"/>
      <c r="AU71" s="74"/>
      <c r="AV71" s="74"/>
      <c r="AW71" s="74"/>
      <c r="AX71" s="74"/>
      <c r="AY71" s="74"/>
      <c r="AZ71" s="74"/>
      <c r="BA71" s="74"/>
      <c r="BB71" s="74"/>
      <c r="BC71" s="74"/>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row>
    <row r="72" spans="1:97" s="8" customFormat="1" ht="15">
      <c r="A72" s="119"/>
      <c r="B72" s="14"/>
      <c r="C72" s="14"/>
      <c r="D72" s="25"/>
      <c r="E72" s="26"/>
      <c r="F72" s="25"/>
      <c r="G72" s="25"/>
      <c r="H72" s="25"/>
      <c r="I72" s="25"/>
      <c r="J72" s="14"/>
      <c r="K72" s="14"/>
      <c r="L72" s="14"/>
      <c r="M72" s="14"/>
      <c r="N72" s="17"/>
      <c r="O72" s="18"/>
      <c r="P72" s="18"/>
      <c r="Q72" s="19"/>
      <c r="R72" s="14"/>
      <c r="S72" s="14"/>
      <c r="T72" s="14"/>
      <c r="U72" s="14"/>
      <c r="V72" s="14"/>
      <c r="W72" s="14"/>
      <c r="X72"/>
      <c r="Y72"/>
      <c r="Z72"/>
      <c r="AA72" s="14"/>
      <c r="AB72" s="71"/>
      <c r="AC72" s="885" t="s">
        <v>311</v>
      </c>
      <c r="AD72" s="886">
        <v>2019</v>
      </c>
      <c r="AE72" s="887">
        <v>2010</v>
      </c>
      <c r="AF72" s="888">
        <f t="shared" ref="AF72:AF81" si="0">AD72-AE72</f>
        <v>9</v>
      </c>
      <c r="AG72" s="889" t="s">
        <v>312</v>
      </c>
      <c r="AH72" s="892">
        <v>2010</v>
      </c>
      <c r="AI72" s="891">
        <v>2007</v>
      </c>
      <c r="AJ72" s="887">
        <f t="shared" ref="AJ72:AJ78" si="1">AH72-AI72</f>
        <v>3</v>
      </c>
      <c r="AQ72"/>
      <c r="AR72" s="325"/>
      <c r="AS72" s="325"/>
      <c r="AT72" s="325"/>
      <c r="AU72" s="71"/>
      <c r="AV72" s="71"/>
      <c r="AW72" s="71"/>
      <c r="AX72" s="71"/>
      <c r="AY72" s="71"/>
      <c r="AZ72" s="71"/>
      <c r="BA72" s="71"/>
      <c r="BB72" s="71"/>
      <c r="BC72" s="71"/>
      <c r="BD72" s="71"/>
      <c r="BE72" s="71"/>
      <c r="BF72" s="71"/>
      <c r="BG72" s="71"/>
      <c r="BH72" s="71"/>
    </row>
    <row r="73" spans="1:97" s="8" customFormat="1" ht="15">
      <c r="A73" s="119"/>
      <c r="B73" s="14"/>
      <c r="C73" s="14"/>
      <c r="G73" s="25"/>
      <c r="H73" s="25"/>
      <c r="I73" s="25"/>
      <c r="J73" s="14"/>
      <c r="K73" s="14"/>
      <c r="L73" s="14"/>
      <c r="M73" s="14"/>
      <c r="N73" s="17"/>
      <c r="O73" s="18"/>
      <c r="P73" s="18"/>
      <c r="Q73" s="19"/>
      <c r="R73" s="14"/>
      <c r="S73" s="14"/>
      <c r="T73" s="14"/>
      <c r="U73" s="14"/>
      <c r="V73" s="14"/>
      <c r="W73" s="14"/>
      <c r="X73"/>
      <c r="Y73"/>
      <c r="Z73"/>
      <c r="AA73" s="14"/>
      <c r="AB73" s="71"/>
      <c r="AC73" s="885" t="s">
        <v>313</v>
      </c>
      <c r="AD73" s="886">
        <v>2011</v>
      </c>
      <c r="AE73" s="892">
        <v>2005</v>
      </c>
      <c r="AF73" s="888">
        <f t="shared" si="0"/>
        <v>6</v>
      </c>
      <c r="AG73" s="889" t="s">
        <v>314</v>
      </c>
      <c r="AH73" s="892">
        <v>2015</v>
      </c>
      <c r="AI73" s="891">
        <v>2010</v>
      </c>
      <c r="AJ73" s="887">
        <f t="shared" si="1"/>
        <v>5</v>
      </c>
      <c r="AK73" s="14"/>
      <c r="AL73" s="14"/>
      <c r="AR73" s="71"/>
      <c r="AS73" s="71"/>
      <c r="AT73" s="71"/>
      <c r="AU73" s="71"/>
      <c r="AV73" s="71"/>
      <c r="AW73" s="71"/>
      <c r="AX73" s="71"/>
      <c r="AY73" s="71"/>
      <c r="AZ73" s="71"/>
      <c r="BA73" s="71"/>
      <c r="BB73" s="71"/>
      <c r="BC73" s="71"/>
      <c r="BD73" s="71"/>
      <c r="BE73" s="71"/>
      <c r="BF73" s="71"/>
      <c r="BG73" s="71"/>
      <c r="BH73" s="71"/>
    </row>
    <row r="74" spans="1:97" s="8" customFormat="1" ht="14">
      <c r="A74" s="119"/>
      <c r="B74" s="14"/>
      <c r="C74" s="14"/>
      <c r="D74" s="20"/>
      <c r="E74" s="21"/>
      <c r="F74" s="21"/>
      <c r="G74" s="14"/>
      <c r="H74" s="14"/>
      <c r="I74" s="14"/>
      <c r="J74" s="14"/>
      <c r="K74" s="14"/>
      <c r="L74" s="14"/>
      <c r="M74" s="14"/>
      <c r="N74" s="17"/>
      <c r="O74" s="18"/>
      <c r="P74" s="18"/>
      <c r="Q74" s="19"/>
      <c r="R74" s="14"/>
      <c r="S74" s="14"/>
      <c r="T74" s="14"/>
      <c r="U74" s="14"/>
      <c r="V74" s="14"/>
      <c r="W74" s="14"/>
      <c r="X74" s="14"/>
      <c r="Y74" s="14"/>
      <c r="Z74" s="14"/>
      <c r="AA74" s="14"/>
      <c r="AB74" s="71"/>
      <c r="AC74" s="270" t="s">
        <v>315</v>
      </c>
      <c r="AD74" s="271">
        <v>2010</v>
      </c>
      <c r="AE74" s="276">
        <v>2000</v>
      </c>
      <c r="AF74" s="273">
        <f t="shared" si="0"/>
        <v>10</v>
      </c>
      <c r="AG74" s="274" t="s">
        <v>316</v>
      </c>
      <c r="AH74" s="276">
        <v>2019</v>
      </c>
      <c r="AI74" s="275">
        <v>2018</v>
      </c>
      <c r="AJ74" s="272">
        <f t="shared" si="1"/>
        <v>1</v>
      </c>
      <c r="AK74" s="14"/>
      <c r="AL74" s="14"/>
      <c r="AY74" s="71"/>
      <c r="AZ74" s="71"/>
      <c r="BA74" s="71"/>
      <c r="BB74" s="71"/>
      <c r="BC74" s="71"/>
      <c r="BD74" s="71"/>
      <c r="BE74" s="71"/>
      <c r="BF74" s="71"/>
      <c r="BG74" s="71"/>
      <c r="BH74" s="71"/>
    </row>
    <row r="75" spans="1:97" s="8" customFormat="1" ht="14">
      <c r="A75" s="119"/>
      <c r="B75" s="14"/>
      <c r="C75" s="14"/>
      <c r="D75" s="20"/>
      <c r="E75" s="21"/>
      <c r="F75" s="21"/>
      <c r="G75" s="14"/>
      <c r="H75" s="14"/>
      <c r="I75" s="14"/>
      <c r="J75" s="14"/>
      <c r="K75" s="14"/>
      <c r="L75" s="14"/>
      <c r="M75" s="14"/>
      <c r="N75" s="17"/>
      <c r="O75" s="18"/>
      <c r="P75" s="18"/>
      <c r="Q75" s="19"/>
      <c r="R75" s="14"/>
      <c r="S75" s="14"/>
      <c r="T75" s="14"/>
      <c r="U75" s="14"/>
      <c r="V75" s="14"/>
      <c r="W75" s="14"/>
      <c r="X75" s="14"/>
      <c r="Y75" s="14"/>
      <c r="Z75" s="14"/>
      <c r="AA75" s="14"/>
      <c r="AB75" s="71"/>
      <c r="AC75" s="270" t="s">
        <v>317</v>
      </c>
      <c r="AD75" s="271">
        <v>2019</v>
      </c>
      <c r="AE75" s="276">
        <v>2017</v>
      </c>
      <c r="AF75" s="273">
        <f t="shared" si="0"/>
        <v>2</v>
      </c>
      <c r="AG75" s="274" t="s">
        <v>318</v>
      </c>
      <c r="AH75" s="276">
        <v>2019</v>
      </c>
      <c r="AI75" s="275">
        <v>2015</v>
      </c>
      <c r="AJ75" s="272">
        <f t="shared" si="1"/>
        <v>4</v>
      </c>
      <c r="AK75" s="14"/>
      <c r="AL75" s="14"/>
      <c r="AY75" s="71"/>
      <c r="AZ75" s="71"/>
      <c r="BA75" s="71"/>
      <c r="BB75" s="71"/>
      <c r="BC75" s="71"/>
      <c r="BD75" s="71"/>
      <c r="BE75" s="71"/>
      <c r="BF75" s="71"/>
      <c r="BG75" s="71"/>
      <c r="BH75" s="71"/>
    </row>
    <row r="76" spans="1:97" s="8" customFormat="1" ht="14">
      <c r="A76" s="119"/>
      <c r="B76" s="14"/>
      <c r="C76" s="14"/>
      <c r="D76" s="20"/>
      <c r="E76" s="21"/>
      <c r="F76" s="21"/>
      <c r="G76" s="14"/>
      <c r="H76" s="14"/>
      <c r="I76" s="14"/>
      <c r="J76" s="14"/>
      <c r="K76" s="14"/>
      <c r="L76" s="14"/>
      <c r="M76" s="14"/>
      <c r="N76" s="17"/>
      <c r="O76" s="18"/>
      <c r="P76" s="18"/>
      <c r="Q76" s="19"/>
      <c r="R76" s="14"/>
      <c r="S76" s="14"/>
      <c r="T76" s="14"/>
      <c r="U76" s="14"/>
      <c r="V76" s="14"/>
      <c r="W76" s="14"/>
      <c r="X76" s="14"/>
      <c r="Y76" s="14"/>
      <c r="Z76" s="14"/>
      <c r="AA76" s="14"/>
      <c r="AB76" s="71"/>
      <c r="AC76" s="270" t="s">
        <v>319</v>
      </c>
      <c r="AD76" s="271">
        <v>2019</v>
      </c>
      <c r="AE76" s="276">
        <v>2015</v>
      </c>
      <c r="AF76" s="273">
        <f t="shared" si="0"/>
        <v>4</v>
      </c>
      <c r="AG76" s="274" t="s">
        <v>320</v>
      </c>
      <c r="AH76" s="276">
        <v>2019</v>
      </c>
      <c r="AI76" s="277">
        <v>2013</v>
      </c>
      <c r="AJ76" s="272">
        <f t="shared" si="1"/>
        <v>6</v>
      </c>
      <c r="AK76" s="14"/>
      <c r="AL76" s="14"/>
      <c r="AY76" s="71"/>
      <c r="AZ76" s="71"/>
      <c r="BA76" s="71"/>
      <c r="BB76" s="71"/>
      <c r="BC76" s="71"/>
      <c r="BD76" s="71"/>
      <c r="BE76" s="71"/>
      <c r="BF76" s="71"/>
      <c r="BG76" s="71"/>
      <c r="BH76" s="71"/>
    </row>
    <row r="77" spans="1:97" s="8" customFormat="1" ht="14">
      <c r="A77" s="119"/>
      <c r="B77" s="14"/>
      <c r="C77" s="14"/>
      <c r="D77" s="20"/>
      <c r="E77" s="21"/>
      <c r="F77" s="21"/>
      <c r="G77" s="14"/>
      <c r="H77" s="14"/>
      <c r="I77" s="14"/>
      <c r="J77" s="14"/>
      <c r="K77" s="14"/>
      <c r="L77" s="14"/>
      <c r="M77" s="14"/>
      <c r="N77" s="14"/>
      <c r="O77" s="14"/>
      <c r="P77" s="14"/>
      <c r="Q77" s="14"/>
      <c r="R77" s="14"/>
      <c r="S77" s="14"/>
      <c r="T77" s="14"/>
      <c r="U77" s="14"/>
      <c r="V77" s="14"/>
      <c r="W77" s="14"/>
      <c r="X77" s="14"/>
      <c r="Y77" s="14"/>
      <c r="Z77" s="14"/>
      <c r="AA77" s="14"/>
      <c r="AC77" s="270" t="s">
        <v>321</v>
      </c>
      <c r="AD77" s="271">
        <v>2018</v>
      </c>
      <c r="AE77" s="278">
        <v>2012</v>
      </c>
      <c r="AF77" s="273">
        <f t="shared" si="0"/>
        <v>6</v>
      </c>
      <c r="AG77" s="274" t="s">
        <v>322</v>
      </c>
      <c r="AH77" s="276">
        <v>2019</v>
      </c>
      <c r="AI77" s="278">
        <v>2010</v>
      </c>
      <c r="AJ77" s="272">
        <f t="shared" si="1"/>
        <v>9</v>
      </c>
      <c r="AK77" s="14"/>
      <c r="AL77" s="14"/>
    </row>
    <row r="78" spans="1:97" s="8" customFormat="1" ht="14">
      <c r="A78" s="119"/>
      <c r="B78" s="14"/>
      <c r="C78" s="14"/>
      <c r="D78" s="20"/>
      <c r="E78" s="21"/>
      <c r="F78" s="21"/>
      <c r="G78" s="14"/>
      <c r="H78" s="14"/>
      <c r="I78" s="14"/>
      <c r="J78" s="14"/>
      <c r="K78" s="14"/>
      <c r="L78" s="14"/>
      <c r="M78" s="14"/>
      <c r="N78" s="14"/>
      <c r="O78" s="14"/>
      <c r="P78" s="14"/>
      <c r="Q78" s="14"/>
      <c r="R78" s="14"/>
      <c r="S78" s="14"/>
      <c r="T78" s="14"/>
      <c r="U78" s="14"/>
      <c r="V78" s="14"/>
      <c r="W78" s="14"/>
      <c r="X78" s="14"/>
      <c r="Y78" s="14"/>
      <c r="Z78" s="14"/>
      <c r="AA78" s="14"/>
      <c r="AC78" s="270" t="s">
        <v>323</v>
      </c>
      <c r="AD78" s="271">
        <v>2012</v>
      </c>
      <c r="AE78" s="278">
        <v>2008</v>
      </c>
      <c r="AF78" s="273">
        <f t="shared" si="0"/>
        <v>4</v>
      </c>
      <c r="AG78" s="274" t="s">
        <v>324</v>
      </c>
      <c r="AH78" s="276">
        <v>2019</v>
      </c>
      <c r="AI78" s="278">
        <v>2012</v>
      </c>
      <c r="AJ78" s="272">
        <f t="shared" si="1"/>
        <v>7</v>
      </c>
      <c r="AK78" s="14"/>
      <c r="AL78" s="14"/>
    </row>
    <row r="79" spans="1:97" s="8" customFormat="1" ht="14">
      <c r="A79" s="119"/>
      <c r="B79" s="14"/>
      <c r="C79" s="14"/>
      <c r="D79" s="20"/>
      <c r="E79" s="21"/>
      <c r="F79" s="21"/>
      <c r="G79" s="14"/>
      <c r="H79" s="14"/>
      <c r="I79" s="14"/>
      <c r="J79" s="14"/>
      <c r="K79" s="14"/>
      <c r="L79" s="14"/>
      <c r="M79" s="14"/>
      <c r="N79" s="14"/>
      <c r="O79" s="14"/>
      <c r="P79" s="14"/>
      <c r="Q79" s="14"/>
      <c r="R79" s="14"/>
      <c r="S79" s="14"/>
      <c r="T79" s="14"/>
      <c r="U79" s="14"/>
      <c r="V79" s="14"/>
      <c r="W79" s="14"/>
      <c r="X79" s="14"/>
      <c r="Y79" s="14"/>
      <c r="Z79" s="14"/>
      <c r="AA79" s="14"/>
      <c r="AC79" s="270" t="s">
        <v>325</v>
      </c>
      <c r="AD79" s="271">
        <v>2007</v>
      </c>
      <c r="AE79" s="278">
        <v>2001</v>
      </c>
      <c r="AF79" s="273">
        <f t="shared" si="0"/>
        <v>6</v>
      </c>
      <c r="AG79" s="274"/>
      <c r="AH79" s="276"/>
      <c r="AI79" s="278"/>
      <c r="AJ79" s="272"/>
      <c r="AK79" s="14"/>
      <c r="AL79" s="14"/>
    </row>
    <row r="80" spans="1:97" s="8" customFormat="1" ht="14">
      <c r="A80" s="119"/>
      <c r="B80" s="14"/>
      <c r="C80" s="14"/>
      <c r="D80" s="20"/>
      <c r="E80" s="21"/>
      <c r="F80" s="21"/>
      <c r="G80" s="14"/>
      <c r="H80" s="14"/>
      <c r="I80" s="14"/>
      <c r="J80" s="14"/>
      <c r="K80" s="14"/>
      <c r="L80" s="14"/>
      <c r="M80" s="14"/>
      <c r="N80" s="14"/>
      <c r="O80" s="14"/>
      <c r="P80" s="14"/>
      <c r="Q80" s="14"/>
      <c r="R80" s="14"/>
      <c r="S80" s="14"/>
      <c r="T80" s="14"/>
      <c r="U80" s="14"/>
      <c r="V80" s="14"/>
      <c r="W80" s="14"/>
      <c r="X80" s="14"/>
      <c r="Y80" s="14"/>
      <c r="Z80" s="14"/>
      <c r="AA80" s="14"/>
      <c r="AC80" s="270" t="s">
        <v>326</v>
      </c>
      <c r="AD80" s="271">
        <v>2019</v>
      </c>
      <c r="AE80" s="278">
        <v>2013</v>
      </c>
      <c r="AF80" s="273">
        <f t="shared" si="0"/>
        <v>6</v>
      </c>
      <c r="AG80" s="274"/>
      <c r="AH80" s="276"/>
      <c r="AI80" s="278"/>
      <c r="AJ80" s="272"/>
      <c r="AK80" s="14"/>
      <c r="AL80" s="14"/>
    </row>
    <row r="81" spans="1:79" s="8" customFormat="1" ht="14">
      <c r="A81" s="119"/>
      <c r="B81" s="14"/>
      <c r="C81" s="14"/>
      <c r="D81" s="20"/>
      <c r="E81" s="21"/>
      <c r="F81" s="21"/>
      <c r="G81" s="14"/>
      <c r="H81" s="14"/>
      <c r="I81" s="14"/>
      <c r="J81" s="14"/>
      <c r="K81" s="14"/>
      <c r="L81" s="14"/>
      <c r="M81" s="14"/>
      <c r="N81" s="14"/>
      <c r="O81" s="14"/>
      <c r="P81" s="14"/>
      <c r="Q81" s="14"/>
      <c r="R81" s="14"/>
      <c r="S81" s="14"/>
      <c r="T81" s="14"/>
      <c r="U81" s="14"/>
      <c r="V81" s="14"/>
      <c r="W81" s="14"/>
      <c r="X81" s="14"/>
      <c r="Y81" s="14"/>
      <c r="Z81" s="14"/>
      <c r="AA81" s="14"/>
      <c r="AC81" s="270" t="s">
        <v>327</v>
      </c>
      <c r="AD81" s="271">
        <v>2013</v>
      </c>
      <c r="AE81" s="278">
        <v>2007</v>
      </c>
      <c r="AF81" s="273">
        <f t="shared" si="0"/>
        <v>6</v>
      </c>
      <c r="AG81" s="274"/>
      <c r="AH81" s="276"/>
      <c r="AI81" s="278"/>
      <c r="AJ81" s="272"/>
      <c r="AK81" s="14"/>
      <c r="AL81" s="14"/>
    </row>
    <row r="82" spans="1:79" s="8" customFormat="1" ht="56">
      <c r="A82" s="119"/>
      <c r="B82" s="14"/>
      <c r="C82" s="14"/>
      <c r="D82" s="20"/>
      <c r="E82" s="21"/>
      <c r="F82" s="21"/>
      <c r="G82" s="14"/>
      <c r="H82" s="14"/>
      <c r="I82" s="14"/>
      <c r="J82" s="14"/>
      <c r="K82" s="14"/>
      <c r="L82" s="14"/>
      <c r="M82" s="14"/>
      <c r="N82" s="14"/>
      <c r="O82" s="14"/>
      <c r="P82" s="14"/>
      <c r="Q82" s="14"/>
      <c r="R82" s="14"/>
      <c r="S82" s="14"/>
      <c r="T82" s="14"/>
      <c r="U82" s="14"/>
      <c r="V82" s="14"/>
      <c r="W82" s="14"/>
      <c r="X82" s="14"/>
      <c r="Y82" s="14"/>
      <c r="Z82" s="14"/>
      <c r="AA82" s="14"/>
      <c r="AC82" s="270" t="s">
        <v>328</v>
      </c>
      <c r="AD82" s="867"/>
      <c r="AE82" s="868"/>
      <c r="AF82" s="869"/>
      <c r="AG82" s="274" t="s">
        <v>329</v>
      </c>
      <c r="AH82" s="870"/>
      <c r="AI82" s="871"/>
      <c r="AJ82" s="872"/>
      <c r="AK82" s="14"/>
      <c r="AL82" s="14"/>
    </row>
    <row r="83" spans="1:79" s="8" customFormat="1">
      <c r="A83" s="119"/>
      <c r="B83" s="14"/>
      <c r="C83" s="14"/>
      <c r="D83" s="20"/>
      <c r="E83" s="21"/>
      <c r="F83" s="21"/>
      <c r="G83" s="14"/>
      <c r="H83" s="14"/>
      <c r="I83" s="14"/>
      <c r="J83" s="14"/>
      <c r="K83" s="14"/>
      <c r="L83" s="14"/>
      <c r="M83" s="14"/>
      <c r="N83" s="14"/>
      <c r="O83" s="14"/>
      <c r="P83" s="14"/>
      <c r="Q83" s="14"/>
      <c r="R83" s="14"/>
      <c r="S83" s="14"/>
      <c r="T83" s="14"/>
      <c r="U83" s="14"/>
      <c r="V83" s="14"/>
      <c r="W83" s="14"/>
      <c r="X83" s="14"/>
      <c r="Y83" s="14"/>
      <c r="Z83" s="14"/>
      <c r="AA83" s="14"/>
      <c r="AK83" s="14"/>
      <c r="AL83" s="14"/>
    </row>
    <row r="84" spans="1:79" s="8" customFormat="1">
      <c r="A84" s="119"/>
      <c r="B84" s="14"/>
      <c r="C84" s="14"/>
      <c r="D84" s="20"/>
      <c r="E84" s="21"/>
      <c r="F84" s="21"/>
      <c r="G84" s="14"/>
      <c r="H84" s="14"/>
      <c r="I84" s="14"/>
      <c r="J84" s="14"/>
      <c r="K84" s="14"/>
      <c r="L84" s="14"/>
      <c r="M84" s="14"/>
      <c r="N84" s="14"/>
      <c r="O84" s="14"/>
      <c r="P84" s="14"/>
      <c r="Q84" s="14"/>
      <c r="R84" s="14"/>
      <c r="S84" s="14"/>
      <c r="T84" s="14"/>
      <c r="U84" s="14"/>
      <c r="V84" s="14"/>
      <c r="W84" s="14"/>
      <c r="X84" s="14"/>
      <c r="Y84" s="14"/>
      <c r="Z84" s="14"/>
      <c r="AA84" s="14"/>
      <c r="AC84" s="255" t="s">
        <v>330</v>
      </c>
      <c r="AD84" s="1439">
        <f>AVERAGE(AF71:AF81)</f>
        <v>5.9090909090909092</v>
      </c>
      <c r="AE84" s="1440"/>
      <c r="AF84" s="1441"/>
      <c r="AG84" s="255" t="s">
        <v>331</v>
      </c>
      <c r="AH84" s="1439">
        <f>AVERAGE(AJ71:AJ81)</f>
        <v>4.875</v>
      </c>
      <c r="AI84" s="1440"/>
      <c r="AJ84" s="1441"/>
      <c r="AK84" s="14"/>
      <c r="AL84" s="14"/>
    </row>
    <row r="85" spans="1:79" s="8" customFormat="1">
      <c r="A85" s="119"/>
      <c r="B85" s="14"/>
      <c r="C85" s="14"/>
      <c r="D85" s="20"/>
      <c r="E85" s="21"/>
      <c r="F85" s="21"/>
      <c r="G85" s="14"/>
      <c r="H85" s="14"/>
      <c r="I85" s="14"/>
      <c r="J85" s="14"/>
      <c r="K85" s="14"/>
      <c r="L85" s="14"/>
      <c r="M85" s="14"/>
      <c r="N85" s="14"/>
      <c r="O85" s="14"/>
      <c r="P85" s="14"/>
      <c r="Q85" s="14"/>
      <c r="R85" s="14"/>
      <c r="S85" s="14"/>
      <c r="T85" s="14"/>
      <c r="U85" s="14"/>
      <c r="V85" s="14"/>
      <c r="W85" s="14"/>
      <c r="X85" s="14"/>
      <c r="Y85" s="14"/>
      <c r="Z85" s="14"/>
      <c r="AA85" s="14"/>
    </row>
    <row r="86" spans="1:79" s="8" customFormat="1">
      <c r="A86" s="119"/>
      <c r="B86" s="6"/>
      <c r="C86" s="14"/>
      <c r="D86" s="14"/>
      <c r="E86" s="16"/>
      <c r="F86" s="14"/>
      <c r="G86" s="14"/>
      <c r="H86" s="14"/>
      <c r="I86" s="14"/>
      <c r="J86" s="14"/>
      <c r="K86" s="14"/>
      <c r="L86" s="14"/>
      <c r="M86" s="14"/>
      <c r="N86" s="14"/>
      <c r="O86" s="14"/>
      <c r="P86" s="14"/>
      <c r="Q86" s="14"/>
      <c r="R86" s="14"/>
      <c r="S86" s="14"/>
      <c r="T86" s="14"/>
      <c r="U86" s="14"/>
      <c r="V86" s="14"/>
      <c r="W86" s="14"/>
      <c r="X86" s="14"/>
      <c r="Y86" s="14"/>
      <c r="Z86" s="14"/>
      <c r="AA86" s="14"/>
    </row>
    <row r="87" spans="1:79" s="8" customFormat="1" ht="66" customHeight="1">
      <c r="A87" s="119"/>
      <c r="B87" s="23"/>
      <c r="C87" s="23"/>
      <c r="D87" s="1407" t="s">
        <v>472</v>
      </c>
      <c r="E87" s="1408"/>
      <c r="F87" s="1409"/>
      <c r="G87" s="1410" t="s">
        <v>477</v>
      </c>
      <c r="H87" s="1411"/>
      <c r="I87" s="1411"/>
      <c r="J87" s="1411"/>
      <c r="K87" s="1411"/>
      <c r="L87" s="1411"/>
      <c r="M87" s="1411"/>
      <c r="N87" s="1411"/>
      <c r="O87" s="1411"/>
      <c r="P87" s="1411"/>
      <c r="Q87" s="1411"/>
      <c r="R87" s="1411"/>
      <c r="S87" s="1411"/>
      <c r="T87" s="1411"/>
      <c r="U87" s="1411"/>
      <c r="V87" s="1411"/>
      <c r="W87" s="1411"/>
      <c r="X87" s="1411"/>
      <c r="Y87" s="1411"/>
      <c r="Z87" s="1411"/>
      <c r="AA87" s="1412"/>
    </row>
    <row r="88" spans="1:79" s="8" customFormat="1" ht="57" customHeight="1">
      <c r="A88" s="119"/>
      <c r="B88" s="6"/>
      <c r="C88" s="14"/>
      <c r="D88" s="1407" t="s">
        <v>473</v>
      </c>
      <c r="E88" s="1408"/>
      <c r="F88" s="1409"/>
      <c r="G88" s="1410" t="s">
        <v>478</v>
      </c>
      <c r="H88" s="1411"/>
      <c r="I88" s="1411"/>
      <c r="J88" s="1411"/>
      <c r="K88" s="1411"/>
      <c r="L88" s="1411"/>
      <c r="M88" s="1411"/>
      <c r="N88" s="1411"/>
      <c r="O88" s="1411"/>
      <c r="P88" s="1411"/>
      <c r="Q88" s="1411"/>
      <c r="R88" s="1411"/>
      <c r="S88" s="1411"/>
      <c r="T88" s="1411"/>
      <c r="U88" s="1411"/>
      <c r="V88" s="1411"/>
      <c r="W88" s="1411"/>
      <c r="X88" s="1411"/>
      <c r="Y88" s="1411"/>
      <c r="Z88" s="1411"/>
      <c r="AA88" s="1412"/>
      <c r="AK88" s="14"/>
      <c r="AL88" s="14"/>
    </row>
    <row r="89" spans="1:79" s="8" customFormat="1" ht="15">
      <c r="A89" s="119"/>
      <c r="B89" s="6"/>
      <c r="C89" s="14"/>
      <c r="D89" s="825"/>
      <c r="E89" s="826"/>
      <c r="F89" s="826"/>
      <c r="G89" s="396"/>
      <c r="H89" s="396"/>
      <c r="I89" s="396"/>
      <c r="J89" s="396"/>
      <c r="K89" s="396"/>
      <c r="L89" s="396"/>
      <c r="M89" s="396"/>
      <c r="N89" s="396"/>
      <c r="O89" s="396"/>
      <c r="P89" s="396"/>
      <c r="Q89" s="396"/>
      <c r="R89" s="396"/>
      <c r="S89" s="396"/>
      <c r="T89" s="396"/>
      <c r="U89" s="396"/>
      <c r="V89" s="396"/>
      <c r="W89" s="396"/>
      <c r="X89" s="396"/>
      <c r="Y89" s="396"/>
      <c r="Z89" s="396"/>
      <c r="AA89" s="396"/>
      <c r="AK89" s="14"/>
      <c r="AL89" s="14"/>
    </row>
    <row r="90" spans="1:79" s="8" customFormat="1">
      <c r="A90" s="119"/>
      <c r="B90" s="119"/>
      <c r="C90" s="119"/>
      <c r="D90" s="119"/>
      <c r="E90" s="119"/>
      <c r="F90" s="119"/>
      <c r="G90" s="119"/>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row>
    <row r="91" spans="1:79" s="8" customFormat="1" ht="14" customHeight="1">
      <c r="A91" s="119"/>
      <c r="B91" s="23"/>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K91" s="14"/>
      <c r="AL91" s="14"/>
    </row>
    <row r="92" spans="1:79" s="8" customFormat="1" ht="20">
      <c r="A92" s="119"/>
      <c r="B92" s="14"/>
      <c r="C92" s="14"/>
      <c r="D92" s="430" t="s">
        <v>87</v>
      </c>
      <c r="E92" s="14"/>
      <c r="F92" s="14"/>
      <c r="G92" s="14"/>
      <c r="H92" s="14"/>
      <c r="I92" s="14"/>
      <c r="J92" s="14"/>
      <c r="K92" s="14"/>
      <c r="L92" s="14"/>
      <c r="M92" s="14"/>
      <c r="N92" s="14"/>
      <c r="O92" s="14"/>
      <c r="P92" s="14"/>
      <c r="Q92" s="14"/>
      <c r="R92" s="14"/>
      <c r="S92" s="14"/>
      <c r="T92" s="14"/>
      <c r="U92" s="14"/>
      <c r="V92" s="14"/>
      <c r="W92" s="14"/>
      <c r="X92" s="14"/>
      <c r="Y92" s="14"/>
      <c r="Z92" s="14"/>
      <c r="AA92" s="14"/>
      <c r="AK92" s="14"/>
      <c r="AL92" s="14"/>
    </row>
    <row r="93" spans="1:79" s="8" customFormat="1">
      <c r="A93" s="119"/>
      <c r="B93" s="14"/>
      <c r="C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25"/>
      <c r="AD93"/>
      <c r="AE93"/>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row>
    <row r="94" spans="1:79" s="8" customFormat="1">
      <c r="A94" s="119"/>
      <c r="B94" s="14"/>
      <c r="C94" s="14"/>
      <c r="D94" s="6"/>
      <c r="E94" s="14"/>
      <c r="F94" s="14"/>
      <c r="G94" s="14"/>
      <c r="H94" s="14"/>
      <c r="I94" s="14"/>
      <c r="J94" s="14"/>
      <c r="K94" s="14"/>
      <c r="L94" s="14"/>
      <c r="M94" s="14"/>
      <c r="N94" s="360" t="s">
        <v>88</v>
      </c>
      <c r="O94" s="357"/>
      <c r="P94" s="357"/>
      <c r="Q94" s="361" t="s">
        <v>432</v>
      </c>
      <c r="R94" s="362"/>
      <c r="S94" s="362"/>
      <c r="T94" s="357"/>
      <c r="U94" s="357"/>
      <c r="V94" s="357"/>
      <c r="W94" s="357"/>
      <c r="X94" s="357"/>
      <c r="Y94" s="357"/>
      <c r="Z94" s="357"/>
      <c r="AA94" s="357"/>
      <c r="AB94"/>
      <c r="AC94" s="25"/>
      <c r="AD94"/>
      <c r="AE9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row>
    <row r="95" spans="1:79" s="8" customFormat="1">
      <c r="A95" s="119"/>
      <c r="B95" s="14"/>
      <c r="C95" s="14"/>
      <c r="D95" s="1433" t="s">
        <v>217</v>
      </c>
      <c r="E95" s="1434"/>
      <c r="F95" s="1434"/>
      <c r="G95" s="14"/>
      <c r="H95" s="14"/>
      <c r="I95" s="14"/>
      <c r="J95" s="14"/>
      <c r="K95" s="14"/>
      <c r="L95" s="14"/>
      <c r="M95" s="14"/>
      <c r="N95" s="357"/>
      <c r="O95" s="357"/>
      <c r="P95" s="357"/>
      <c r="Q95" s="360" t="s">
        <v>452</v>
      </c>
      <c r="R95" s="363"/>
      <c r="S95" s="363"/>
      <c r="T95" s="363"/>
      <c r="U95" s="363"/>
      <c r="V95" s="363"/>
      <c r="W95" s="363"/>
      <c r="X95" s="363"/>
      <c r="Y95" s="363"/>
      <c r="Z95" s="363"/>
      <c r="AA95" s="357"/>
      <c r="AB95"/>
      <c r="AC95" s="25"/>
      <c r="AD95"/>
      <c r="AE95"/>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row>
    <row r="96" spans="1:79" s="8" customFormat="1">
      <c r="A96" s="119"/>
      <c r="B96" s="14"/>
      <c r="C96" s="14"/>
      <c r="D96" s="6" t="s">
        <v>190</v>
      </c>
      <c r="E96" s="14"/>
      <c r="F96" s="14"/>
      <c r="G96" s="14"/>
      <c r="H96" s="14"/>
      <c r="I96" s="14"/>
      <c r="J96" s="14"/>
      <c r="K96" s="14"/>
      <c r="L96" s="14"/>
      <c r="M96" s="14"/>
      <c r="N96" s="357"/>
      <c r="O96" s="357"/>
      <c r="P96" s="357"/>
      <c r="Q96" s="363" t="s">
        <v>453</v>
      </c>
      <c r="R96" s="363"/>
      <c r="S96" s="363"/>
      <c r="T96" s="363"/>
      <c r="U96" s="363"/>
      <c r="V96" s="363"/>
      <c r="W96" s="363"/>
      <c r="X96" s="363"/>
      <c r="Y96" s="363"/>
      <c r="Z96" s="363"/>
      <c r="AA96" s="357"/>
      <c r="AB96"/>
      <c r="AC96" s="25"/>
      <c r="AD96"/>
      <c r="AE96"/>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row>
    <row r="97" spans="1:86" s="8" customFormat="1">
      <c r="A97" s="119"/>
      <c r="B97" s="14"/>
      <c r="C97" s="14"/>
      <c r="D97" s="6"/>
      <c r="E97" s="14"/>
      <c r="F97" s="14"/>
      <c r="G97" s="14"/>
      <c r="H97" s="14"/>
      <c r="I97" s="14"/>
      <c r="J97" s="14"/>
      <c r="K97" s="14"/>
      <c r="L97" s="14"/>
      <c r="M97" s="14"/>
      <c r="N97" s="364"/>
      <c r="O97" s="357"/>
      <c r="P97" s="357"/>
      <c r="Q97" s="363" t="s">
        <v>454</v>
      </c>
      <c r="R97" s="363"/>
      <c r="S97" s="363"/>
      <c r="T97" s="363"/>
      <c r="U97" s="363"/>
      <c r="V97" s="363"/>
      <c r="W97" s="363"/>
      <c r="X97" s="363"/>
      <c r="Y97" s="363"/>
      <c r="Z97" s="363"/>
      <c r="AA97" s="357"/>
      <c r="AB97"/>
      <c r="AC97" s="25"/>
      <c r="AD97"/>
      <c r="AE97"/>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row>
    <row r="98" spans="1:86" s="8" customFormat="1">
      <c r="A98" s="119"/>
      <c r="B98" s="14"/>
      <c r="C98" s="14"/>
      <c r="D98" s="6"/>
      <c r="E98" s="14"/>
      <c r="F98" s="14"/>
      <c r="G98" s="14"/>
      <c r="H98" s="14"/>
      <c r="I98" s="14"/>
      <c r="J98" s="14"/>
      <c r="K98" s="14"/>
      <c r="L98" s="14"/>
      <c r="M98" s="14"/>
      <c r="N98" s="364"/>
      <c r="O98" s="357"/>
      <c r="P98" s="357"/>
      <c r="Q98" s="363" t="s">
        <v>455</v>
      </c>
      <c r="R98" s="363"/>
      <c r="S98" s="363"/>
      <c r="T98" s="363"/>
      <c r="U98" s="363"/>
      <c r="V98" s="363"/>
      <c r="W98" s="363"/>
      <c r="X98" s="363"/>
      <c r="Y98" s="363"/>
      <c r="Z98" s="363"/>
      <c r="AA98" s="357"/>
      <c r="AB98"/>
      <c r="AC98" s="25"/>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F98" s="53"/>
    </row>
    <row r="99" spans="1:86" s="8" customFormat="1" ht="14">
      <c r="A99" s="119"/>
      <c r="B99" s="14"/>
      <c r="C99" s="14"/>
      <c r="D99" s="77"/>
      <c r="E99" s="14"/>
      <c r="F99" s="14"/>
      <c r="G99" s="14"/>
      <c r="H99" s="14"/>
      <c r="I99" s="14"/>
      <c r="J99" s="14"/>
      <c r="K99" s="14"/>
      <c r="L99" s="14"/>
      <c r="M99" s="14"/>
      <c r="N99" s="741"/>
      <c r="O99" s="718"/>
      <c r="P99" s="718"/>
      <c r="Q99" s="718"/>
      <c r="R99" s="718"/>
      <c r="S99" s="693"/>
      <c r="T99" s="693"/>
      <c r="U99" s="693"/>
      <c r="V99" s="693"/>
      <c r="W99" s="693"/>
      <c r="X99" s="693"/>
      <c r="Y99" s="693"/>
      <c r="Z99" s="693"/>
      <c r="AA99" s="693"/>
      <c r="AB99" s="693"/>
      <c r="AC99" s="25"/>
    </row>
    <row r="100" spans="1:86" s="8" customFormat="1">
      <c r="A100" s="119"/>
      <c r="B100" s="14"/>
      <c r="C100" s="14"/>
      <c r="D100" s="6"/>
      <c r="E100" s="14"/>
      <c r="F100" s="14"/>
      <c r="G100" s="14"/>
      <c r="H100" s="14"/>
      <c r="I100" s="14"/>
      <c r="J100" s="14"/>
      <c r="K100" s="14"/>
      <c r="L100" s="14"/>
      <c r="M100" s="14"/>
      <c r="N100" s="25"/>
      <c r="O100" s="25"/>
      <c r="P100" s="25"/>
      <c r="Q100" s="25"/>
      <c r="R100" s="25"/>
      <c r="S100" s="25"/>
      <c r="T100" s="25"/>
      <c r="U100" s="25"/>
      <c r="V100" s="25"/>
      <c r="W100" s="25"/>
      <c r="X100" s="25"/>
      <c r="Y100" s="25"/>
      <c r="Z100" s="14"/>
      <c r="AA100" s="14"/>
      <c r="AB100" s="14"/>
      <c r="AC100" s="25"/>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c r="BP100"/>
      <c r="BQ100"/>
      <c r="BR100"/>
      <c r="BS100"/>
      <c r="BT100"/>
      <c r="BU100"/>
      <c r="BV100"/>
      <c r="BW100"/>
      <c r="BX100"/>
      <c r="BY100"/>
      <c r="BZ100"/>
      <c r="CA100"/>
      <c r="CB100"/>
      <c r="CC100"/>
      <c r="CD100"/>
      <c r="CE100"/>
      <c r="CF100"/>
      <c r="CG100"/>
      <c r="CH100"/>
    </row>
    <row r="101" spans="1:86" s="8" customFormat="1">
      <c r="A101" s="119"/>
      <c r="B101" s="14"/>
      <c r="D101" s="6" t="s">
        <v>69</v>
      </c>
      <c r="E101" s="14"/>
      <c r="F101" s="14"/>
      <c r="G101" s="28"/>
      <c r="I101" s="27"/>
      <c r="J101" s="27"/>
      <c r="K101" s="14"/>
      <c r="L101" s="14"/>
      <c r="M101" s="14"/>
      <c r="X101" s="6" t="s">
        <v>70</v>
      </c>
      <c r="AC101" s="6" t="s">
        <v>90</v>
      </c>
      <c r="AE101" s="16"/>
      <c r="AF101" s="14"/>
      <c r="AG101" s="14"/>
      <c r="AH101" s="14"/>
      <c r="AI101" s="14"/>
      <c r="AJ101" s="14"/>
      <c r="AK101" s="14"/>
      <c r="AL101" s="14"/>
      <c r="AM101" s="14"/>
      <c r="BO101"/>
      <c r="BP101"/>
      <c r="BQ101"/>
      <c r="BR101"/>
      <c r="BS101"/>
      <c r="BT101"/>
      <c r="BU101"/>
      <c r="BV101"/>
      <c r="BW101"/>
      <c r="BX101"/>
      <c r="BY101"/>
      <c r="BZ101"/>
      <c r="CA101"/>
      <c r="CB101"/>
      <c r="CC101"/>
      <c r="CD101"/>
      <c r="CE101"/>
      <c r="CF101"/>
      <c r="CG101"/>
      <c r="CH101"/>
    </row>
    <row r="102" spans="1:86" s="8" customFormat="1" ht="14">
      <c r="A102" s="119"/>
      <c r="B102" s="14"/>
      <c r="AC102"/>
      <c r="AD102"/>
      <c r="AE102" s="693"/>
      <c r="AF102" s="693"/>
      <c r="AG102" s="693"/>
      <c r="AH102" s="693"/>
      <c r="AI102" s="693"/>
      <c r="AJ102" s="693"/>
      <c r="AK102" s="693"/>
      <c r="AL102" s="693"/>
      <c r="AM102" s="693"/>
      <c r="BO102"/>
      <c r="BP102"/>
      <c r="BQ102"/>
      <c r="BR102"/>
      <c r="BS102"/>
      <c r="BT102"/>
      <c r="BU102"/>
      <c r="BV102"/>
      <c r="BW102"/>
      <c r="BX102"/>
      <c r="BY102"/>
      <c r="BZ102"/>
      <c r="CA102"/>
      <c r="CB102"/>
      <c r="CC102"/>
      <c r="CD102"/>
      <c r="CE102"/>
      <c r="CF102"/>
      <c r="CG102"/>
      <c r="CH102"/>
    </row>
    <row r="103" spans="1:86" s="8" customFormat="1" ht="14">
      <c r="A103" s="119"/>
      <c r="B103" s="14"/>
      <c r="D103" s="757" t="s">
        <v>13</v>
      </c>
      <c r="E103" s="757" t="s">
        <v>14</v>
      </c>
      <c r="F103" s="758"/>
      <c r="G103" s="759"/>
      <c r="I103" s="48"/>
      <c r="J103" s="718"/>
      <c r="K103" s="693"/>
      <c r="L103" s="693"/>
      <c r="M103" s="693"/>
      <c r="N103" s="902" t="s">
        <v>89</v>
      </c>
      <c r="O103" s="902" t="s">
        <v>14</v>
      </c>
      <c r="P103" s="966"/>
      <c r="Q103" s="903"/>
      <c r="R103" s="48"/>
      <c r="S103" s="48"/>
      <c r="T103" s="48"/>
      <c r="U103" s="48"/>
      <c r="V103" s="48"/>
      <c r="W103" s="48"/>
      <c r="X103" s="699" t="s">
        <v>13</v>
      </c>
      <c r="Y103" s="699" t="s">
        <v>14</v>
      </c>
      <c r="Z103" s="719"/>
      <c r="AA103" s="700"/>
      <c r="AC103" s="699" t="s">
        <v>13</v>
      </c>
      <c r="AD103" s="699" t="s">
        <v>21</v>
      </c>
      <c r="AE103" s="719"/>
      <c r="AF103" s="719"/>
      <c r="AG103" s="719"/>
      <c r="AH103" s="719"/>
      <c r="AI103" s="719"/>
      <c r="AJ103" s="719"/>
      <c r="AK103" s="719"/>
      <c r="AL103" s="719"/>
      <c r="AM103" s="700"/>
      <c r="AN103" s="693"/>
      <c r="AO103" s="693"/>
      <c r="AP103" s="693"/>
      <c r="AQ103" s="693"/>
      <c r="AR103" s="693"/>
      <c r="AS103" s="693"/>
      <c r="AT103" s="693"/>
      <c r="AU103" s="693"/>
      <c r="AV103" s="693"/>
      <c r="AW103" s="693"/>
      <c r="AX103" s="693"/>
      <c r="AY103" s="693"/>
      <c r="AZ103" s="693"/>
      <c r="BA103" s="693"/>
      <c r="BB103" s="693"/>
      <c r="BC103" s="693"/>
      <c r="BD103" s="693"/>
      <c r="BE103" s="693"/>
      <c r="BF103" s="693"/>
      <c r="BG103" s="693"/>
      <c r="BH103" s="693"/>
      <c r="BO103"/>
      <c r="BP103"/>
      <c r="BQ103"/>
      <c r="BR103"/>
      <c r="BS103"/>
      <c r="BT103"/>
      <c r="BU103"/>
      <c r="BV103"/>
      <c r="BW103"/>
      <c r="BX103"/>
      <c r="BY103"/>
      <c r="BZ103"/>
      <c r="CA103"/>
      <c r="CB103"/>
      <c r="CC103"/>
      <c r="CD103"/>
      <c r="CE103"/>
      <c r="CF103"/>
      <c r="CG103"/>
      <c r="CH103"/>
    </row>
    <row r="104" spans="1:86" s="8" customFormat="1" ht="14">
      <c r="A104" s="119"/>
      <c r="B104" s="14"/>
      <c r="D104" s="757" t="s">
        <v>21</v>
      </c>
      <c r="E104" s="757" t="s">
        <v>27</v>
      </c>
      <c r="F104" s="760" t="s">
        <v>47</v>
      </c>
      <c r="G104" s="761" t="s">
        <v>235</v>
      </c>
      <c r="I104" s="48"/>
      <c r="J104" s="718"/>
      <c r="K104" s="693"/>
      <c r="L104" s="693"/>
      <c r="M104" s="693"/>
      <c r="N104" s="902" t="s">
        <v>12</v>
      </c>
      <c r="O104" s="902" t="s">
        <v>27</v>
      </c>
      <c r="P104" s="967" t="s">
        <v>47</v>
      </c>
      <c r="Q104" s="904" t="s">
        <v>235</v>
      </c>
      <c r="R104" s="48"/>
      <c r="S104" s="48"/>
      <c r="T104" s="48"/>
      <c r="U104" s="48"/>
      <c r="V104" s="48"/>
      <c r="W104" s="48"/>
      <c r="X104" s="699" t="s">
        <v>21</v>
      </c>
      <c r="Y104" s="701" t="s">
        <v>27</v>
      </c>
      <c r="Z104" s="720" t="s">
        <v>47</v>
      </c>
      <c r="AA104" s="721" t="s">
        <v>235</v>
      </c>
      <c r="AC104" s="699" t="s">
        <v>14</v>
      </c>
      <c r="AD104" s="701" t="s">
        <v>7</v>
      </c>
      <c r="AE104" s="720" t="s">
        <v>10</v>
      </c>
      <c r="AF104" s="720" t="s">
        <v>8</v>
      </c>
      <c r="AG104" s="720" t="s">
        <v>9</v>
      </c>
      <c r="AH104" s="720" t="s">
        <v>20</v>
      </c>
      <c r="AI104" s="720" t="s">
        <v>540</v>
      </c>
      <c r="AJ104" s="720" t="s">
        <v>543</v>
      </c>
      <c r="AK104" s="720" t="s">
        <v>5</v>
      </c>
      <c r="AL104" s="720" t="s">
        <v>6</v>
      </c>
      <c r="AM104" s="721" t="s">
        <v>235</v>
      </c>
      <c r="AN104" s="693"/>
      <c r="AO104" s="693"/>
      <c r="AP104" s="693"/>
      <c r="AQ104" s="693"/>
      <c r="AR104" s="693"/>
      <c r="AS104" s="693"/>
      <c r="AT104" s="693"/>
      <c r="AU104" s="693"/>
      <c r="AV104" s="693"/>
      <c r="AW104" s="693"/>
      <c r="AX104" s="693"/>
      <c r="AY104" s="693"/>
      <c r="AZ104" s="693"/>
      <c r="BA104" s="693"/>
      <c r="BB104" s="693"/>
      <c r="BC104" s="693"/>
      <c r="BD104" s="693"/>
      <c r="BE104" s="693"/>
      <c r="BF104" s="693"/>
      <c r="BG104" s="693"/>
      <c r="BH104" s="693"/>
      <c r="BO104"/>
      <c r="BP104"/>
      <c r="BQ104"/>
      <c r="BR104"/>
      <c r="BS104"/>
      <c r="BT104"/>
      <c r="BU104"/>
      <c r="BV104"/>
      <c r="BW104"/>
      <c r="BX104"/>
      <c r="BY104"/>
      <c r="BZ104"/>
      <c r="CA104"/>
      <c r="CB104"/>
      <c r="CC104"/>
      <c r="CD104"/>
      <c r="CE104"/>
      <c r="CF104"/>
      <c r="CG104"/>
      <c r="CH104"/>
    </row>
    <row r="105" spans="1:86" s="8" customFormat="1" ht="14">
      <c r="A105" s="119"/>
      <c r="B105" s="14"/>
      <c r="D105" s="757" t="s">
        <v>5</v>
      </c>
      <c r="E105" s="762">
        <v>17</v>
      </c>
      <c r="F105" s="763">
        <v>13</v>
      </c>
      <c r="G105" s="764">
        <v>30</v>
      </c>
      <c r="I105" s="48"/>
      <c r="J105" s="718"/>
      <c r="K105" s="693"/>
      <c r="L105" s="693"/>
      <c r="M105" s="693"/>
      <c r="N105" s="902" t="s">
        <v>3</v>
      </c>
      <c r="O105" s="905">
        <v>12.646551724137931</v>
      </c>
      <c r="P105" s="968">
        <v>12.578947368421053</v>
      </c>
      <c r="Q105" s="906">
        <v>12.624277456647398</v>
      </c>
      <c r="R105" s="48"/>
      <c r="S105" s="48"/>
      <c r="T105" s="48"/>
      <c r="U105" s="48"/>
      <c r="V105" s="48"/>
      <c r="W105" s="48"/>
      <c r="X105" s="701" t="s">
        <v>5</v>
      </c>
      <c r="Y105" s="704">
        <v>0.56666666666666665</v>
      </c>
      <c r="Z105" s="749">
        <v>0.43333333333333335</v>
      </c>
      <c r="AA105" s="734">
        <v>1</v>
      </c>
      <c r="AC105" s="701" t="s">
        <v>47</v>
      </c>
      <c r="AD105" s="706">
        <v>0.33333333333333331</v>
      </c>
      <c r="AE105" s="725">
        <v>0.46666666666666667</v>
      </c>
      <c r="AF105" s="725">
        <v>0.375</v>
      </c>
      <c r="AG105" s="725">
        <v>0.25</v>
      </c>
      <c r="AH105" s="725">
        <v>0.30769230769230771</v>
      </c>
      <c r="AI105" s="725">
        <v>0.15384615384615385</v>
      </c>
      <c r="AJ105" s="725">
        <v>0.2</v>
      </c>
      <c r="AK105" s="725">
        <v>0.43333333333333335</v>
      </c>
      <c r="AL105" s="725">
        <v>0.41237113402061853</v>
      </c>
      <c r="AM105" s="734">
        <v>0.375</v>
      </c>
      <c r="AN105" s="693"/>
      <c r="AO105" s="693"/>
      <c r="AP105" s="693"/>
      <c r="AQ105" s="693"/>
      <c r="AR105" s="693"/>
      <c r="AS105" s="693"/>
      <c r="AT105" s="693"/>
      <c r="AU105" s="693"/>
      <c r="AV105" s="693"/>
      <c r="AW105" s="693"/>
      <c r="AX105" s="693"/>
      <c r="AY105" s="693"/>
      <c r="AZ105" s="693"/>
      <c r="BA105" s="693"/>
      <c r="BB105" s="693"/>
      <c r="BC105" s="693"/>
      <c r="BD105" s="693"/>
      <c r="BE105" s="693"/>
      <c r="BF105" s="693"/>
      <c r="BG105" s="693"/>
      <c r="BH105" s="693"/>
      <c r="BO105"/>
      <c r="BP105"/>
      <c r="BQ105"/>
      <c r="BR105"/>
      <c r="BS105"/>
      <c r="BT105"/>
      <c r="BU105"/>
      <c r="BV105"/>
      <c r="BW105"/>
      <c r="BX105"/>
      <c r="BY105"/>
      <c r="BZ105"/>
      <c r="CA105"/>
      <c r="CB105"/>
      <c r="CC105"/>
      <c r="CD105"/>
      <c r="CE105"/>
      <c r="CF105"/>
      <c r="CG105"/>
      <c r="CH105"/>
    </row>
    <row r="106" spans="1:86" s="8" customFormat="1" ht="14">
      <c r="A106" s="119"/>
      <c r="B106" s="6"/>
      <c r="D106" s="765" t="s">
        <v>6</v>
      </c>
      <c r="E106" s="766">
        <v>57</v>
      </c>
      <c r="F106" s="767">
        <v>40</v>
      </c>
      <c r="G106" s="768">
        <v>97</v>
      </c>
      <c r="I106" s="48"/>
      <c r="J106" s="718"/>
      <c r="K106" s="693"/>
      <c r="L106" s="693"/>
      <c r="M106" s="693"/>
      <c r="N106" s="935" t="s">
        <v>49</v>
      </c>
      <c r="O106" s="936">
        <v>24.5</v>
      </c>
      <c r="P106" s="969">
        <v>7.5185185185185182</v>
      </c>
      <c r="Q106" s="937">
        <v>11.4</v>
      </c>
      <c r="R106" s="48"/>
      <c r="S106" s="48"/>
      <c r="T106" s="48"/>
      <c r="U106" s="48"/>
      <c r="V106" s="48"/>
      <c r="W106" s="48"/>
      <c r="X106" s="708" t="s">
        <v>6</v>
      </c>
      <c r="Y106" s="709">
        <v>0.58762886597938147</v>
      </c>
      <c r="Z106" s="752">
        <v>0.41237113402061853</v>
      </c>
      <c r="AA106" s="735">
        <v>1</v>
      </c>
      <c r="AC106" s="708" t="s">
        <v>27</v>
      </c>
      <c r="AD106" s="711">
        <v>0.66666666666666663</v>
      </c>
      <c r="AE106" s="729">
        <v>0.53333333333333333</v>
      </c>
      <c r="AF106" s="729">
        <v>0.625</v>
      </c>
      <c r="AG106" s="729">
        <v>0.75</v>
      </c>
      <c r="AH106" s="729">
        <v>0.69230769230769229</v>
      </c>
      <c r="AI106" s="729">
        <v>0.84615384615384615</v>
      </c>
      <c r="AJ106" s="729">
        <v>0.8</v>
      </c>
      <c r="AK106" s="729">
        <v>0.56666666666666665</v>
      </c>
      <c r="AL106" s="729">
        <v>0.58762886597938147</v>
      </c>
      <c r="AM106" s="735">
        <v>0.625</v>
      </c>
      <c r="AN106" s="693"/>
      <c r="AO106" s="693"/>
      <c r="AP106" s="693"/>
      <c r="AQ106" s="693"/>
      <c r="AR106" s="693"/>
      <c r="AS106" s="693"/>
      <c r="AT106" s="693"/>
      <c r="AU106" s="693"/>
      <c r="AV106" s="693"/>
      <c r="AW106" s="693"/>
      <c r="AX106" s="693"/>
      <c r="AY106" s="693"/>
      <c r="AZ106" s="693"/>
      <c r="BA106" s="693"/>
      <c r="BB106" s="693"/>
      <c r="BC106" s="693"/>
      <c r="BD106" s="693"/>
      <c r="BE106" s="693"/>
      <c r="BF106" s="693"/>
      <c r="BG106" s="693"/>
      <c r="BH106" s="693"/>
      <c r="BO106"/>
      <c r="BP106"/>
      <c r="BQ106"/>
      <c r="BR106"/>
      <c r="BS106"/>
      <c r="BT106"/>
      <c r="BU106"/>
      <c r="BV106"/>
      <c r="BW106"/>
      <c r="BX106"/>
      <c r="BY106"/>
      <c r="BZ106"/>
      <c r="CA106"/>
      <c r="CB106"/>
      <c r="CC106"/>
      <c r="CD106"/>
      <c r="CE106"/>
      <c r="CF106"/>
      <c r="CG106"/>
      <c r="CH106"/>
    </row>
    <row r="107" spans="1:86" ht="14">
      <c r="D107" s="765" t="s">
        <v>7</v>
      </c>
      <c r="E107" s="766">
        <v>46</v>
      </c>
      <c r="F107" s="767">
        <v>23</v>
      </c>
      <c r="G107" s="768">
        <v>69</v>
      </c>
      <c r="I107" s="48"/>
      <c r="J107" s="718"/>
      <c r="K107" s="693"/>
      <c r="L107" s="693"/>
      <c r="M107" s="693"/>
      <c r="N107" s="935" t="s">
        <v>50</v>
      </c>
      <c r="O107" s="936">
        <v>13.712121212121213</v>
      </c>
      <c r="P107" s="969">
        <v>13.121212121212121</v>
      </c>
      <c r="Q107" s="937">
        <v>13.515151515151516</v>
      </c>
      <c r="R107" s="48"/>
      <c r="S107" s="48"/>
      <c r="T107" s="48"/>
      <c r="U107" s="48"/>
      <c r="V107" s="48"/>
      <c r="W107" s="48"/>
      <c r="X107" s="708" t="s">
        <v>7</v>
      </c>
      <c r="Y107" s="709">
        <v>0.66666666666666663</v>
      </c>
      <c r="Z107" s="752">
        <v>0.33333333333333331</v>
      </c>
      <c r="AA107" s="735">
        <v>1</v>
      </c>
      <c r="AC107" s="713" t="s">
        <v>235</v>
      </c>
      <c r="AD107" s="716">
        <v>1</v>
      </c>
      <c r="AE107" s="730">
        <v>1</v>
      </c>
      <c r="AF107" s="730">
        <v>1</v>
      </c>
      <c r="AG107" s="730">
        <v>1</v>
      </c>
      <c r="AH107" s="730">
        <v>1</v>
      </c>
      <c r="AI107" s="730">
        <v>1</v>
      </c>
      <c r="AJ107" s="730">
        <v>1</v>
      </c>
      <c r="AK107" s="730">
        <v>1</v>
      </c>
      <c r="AL107" s="730">
        <v>1</v>
      </c>
      <c r="AM107" s="736">
        <v>1</v>
      </c>
      <c r="AN107" s="782"/>
      <c r="AO107" s="782"/>
      <c r="AP107" s="782"/>
      <c r="AQ107" s="782"/>
      <c r="AR107" s="782"/>
      <c r="AS107" s="782"/>
      <c r="AT107" s="782"/>
      <c r="AU107" s="782"/>
      <c r="AV107" s="782"/>
      <c r="AW107" s="782"/>
      <c r="AX107" s="782"/>
      <c r="AY107" s="782"/>
      <c r="AZ107" s="782"/>
      <c r="BA107" s="782"/>
      <c r="BB107" s="782"/>
      <c r="BC107" s="782"/>
      <c r="BD107" s="782"/>
      <c r="BE107" s="782"/>
      <c r="BF107" s="782"/>
      <c r="BG107" s="782"/>
      <c r="BH107" s="782"/>
    </row>
    <row r="108" spans="1:86" ht="14">
      <c r="D108" s="765" t="s">
        <v>10</v>
      </c>
      <c r="E108" s="766">
        <v>24</v>
      </c>
      <c r="F108" s="767">
        <v>21</v>
      </c>
      <c r="G108" s="768">
        <v>45</v>
      </c>
      <c r="I108" s="48"/>
      <c r="J108" s="718"/>
      <c r="K108" s="693"/>
      <c r="L108" s="693"/>
      <c r="M108" s="693"/>
      <c r="N108" s="935" t="s">
        <v>51</v>
      </c>
      <c r="O108" s="936">
        <v>26.8</v>
      </c>
      <c r="P108" s="969">
        <v>26</v>
      </c>
      <c r="Q108" s="937">
        <v>26.615384615384617</v>
      </c>
      <c r="R108" s="48"/>
      <c r="S108" s="48"/>
      <c r="T108" s="48"/>
      <c r="U108" s="48"/>
      <c r="V108" s="48"/>
      <c r="W108" s="48"/>
      <c r="X108" s="708" t="s">
        <v>10</v>
      </c>
      <c r="Y108" s="709">
        <v>0.53333333333333333</v>
      </c>
      <c r="Z108" s="752">
        <v>0.46666666666666667</v>
      </c>
      <c r="AA108" s="735">
        <v>1</v>
      </c>
      <c r="AN108" s="782"/>
      <c r="AO108" s="782"/>
      <c r="AP108" s="782"/>
      <c r="AQ108" s="782"/>
      <c r="AR108" s="782"/>
      <c r="AS108" s="782"/>
      <c r="AT108" s="782"/>
      <c r="AU108" s="782"/>
      <c r="AV108" s="782"/>
      <c r="AW108" s="782"/>
      <c r="AX108" s="782"/>
      <c r="AY108" s="782"/>
      <c r="AZ108" s="782"/>
      <c r="BA108" s="782"/>
      <c r="BB108" s="782"/>
      <c r="BC108" s="782"/>
      <c r="BD108" s="782"/>
      <c r="BE108" s="782"/>
      <c r="BF108" s="782"/>
      <c r="BG108" s="782"/>
      <c r="BH108" s="782"/>
      <c r="BT108" s="783"/>
      <c r="BU108" s="783"/>
      <c r="BV108" s="783"/>
      <c r="BW108" s="783"/>
      <c r="BX108" s="783"/>
      <c r="BY108" s="783"/>
      <c r="BZ108" s="783"/>
      <c r="CA108" s="783"/>
      <c r="CB108" s="48"/>
      <c r="CC108" s="48"/>
      <c r="CD108" s="694"/>
      <c r="CE108" s="694"/>
      <c r="CF108" s="694"/>
    </row>
    <row r="109" spans="1:86" ht="14">
      <c r="D109" s="765" t="s">
        <v>8</v>
      </c>
      <c r="E109" s="766">
        <v>20</v>
      </c>
      <c r="F109" s="767">
        <v>12</v>
      </c>
      <c r="G109" s="768">
        <v>32</v>
      </c>
      <c r="I109" s="48"/>
      <c r="J109" s="718"/>
      <c r="K109" s="693"/>
      <c r="L109" s="693"/>
      <c r="M109" s="693"/>
      <c r="N109" s="907" t="s">
        <v>235</v>
      </c>
      <c r="O109" s="908">
        <v>14.18</v>
      </c>
      <c r="P109" s="970">
        <v>11.925000000000001</v>
      </c>
      <c r="Q109" s="909">
        <v>13.334375</v>
      </c>
      <c r="R109" s="48"/>
      <c r="S109" s="48"/>
      <c r="T109" s="48"/>
      <c r="U109" s="48"/>
      <c r="V109" s="48"/>
      <c r="W109" s="48"/>
      <c r="X109" s="708" t="s">
        <v>8</v>
      </c>
      <c r="Y109" s="709">
        <v>0.625</v>
      </c>
      <c r="Z109" s="752">
        <v>0.375</v>
      </c>
      <c r="AA109" s="735">
        <v>1</v>
      </c>
      <c r="AN109" s="783"/>
      <c r="AO109" s="783"/>
      <c r="AP109" s="783"/>
      <c r="AQ109" s="783"/>
      <c r="AR109" s="783"/>
      <c r="AS109" s="783"/>
      <c r="AT109" s="783"/>
      <c r="AU109" s="783"/>
      <c r="AV109" s="783"/>
      <c r="AW109" s="783"/>
      <c r="AX109" s="783"/>
      <c r="AY109" s="783"/>
      <c r="AZ109" s="783"/>
      <c r="BA109" s="783"/>
      <c r="BB109" s="783"/>
      <c r="BC109" s="783"/>
      <c r="BD109" s="783"/>
      <c r="BE109" s="783"/>
      <c r="BF109" s="783"/>
      <c r="BG109" s="783"/>
      <c r="BH109" s="783"/>
      <c r="BT109" s="783"/>
      <c r="BU109" s="783"/>
      <c r="BV109" s="783"/>
      <c r="BW109" s="783"/>
      <c r="BX109" s="783"/>
      <c r="BY109" s="783"/>
      <c r="BZ109" s="783"/>
      <c r="CA109" s="783"/>
      <c r="CB109" s="48"/>
      <c r="CC109" s="48"/>
      <c r="CD109" s="694"/>
      <c r="CE109" s="694"/>
      <c r="CF109" s="756"/>
    </row>
    <row r="110" spans="1:86" ht="14">
      <c r="D110" s="765" t="s">
        <v>9</v>
      </c>
      <c r="E110" s="766">
        <v>12</v>
      </c>
      <c r="F110" s="767">
        <v>4</v>
      </c>
      <c r="G110" s="768">
        <v>16</v>
      </c>
      <c r="I110" s="48"/>
      <c r="J110" s="718"/>
      <c r="K110" s="693"/>
      <c r="L110" s="693"/>
      <c r="M110" s="693"/>
      <c r="N110"/>
      <c r="O110"/>
      <c r="P110"/>
      <c r="Q110"/>
      <c r="R110" s="48"/>
      <c r="S110" s="693"/>
      <c r="T110" s="693"/>
      <c r="U110" s="693"/>
      <c r="V110" s="693"/>
      <c r="W110" s="693"/>
      <c r="X110" s="708" t="s">
        <v>9</v>
      </c>
      <c r="Y110" s="709">
        <v>0.75</v>
      </c>
      <c r="Z110" s="752">
        <v>0.25</v>
      </c>
      <c r="AA110" s="735">
        <v>1</v>
      </c>
      <c r="AN110" s="783"/>
      <c r="AO110" s="783"/>
      <c r="AP110" s="783"/>
      <c r="AQ110" s="783"/>
      <c r="AR110" s="783"/>
      <c r="AS110" s="783"/>
      <c r="AT110" s="783"/>
      <c r="AU110" s="783"/>
      <c r="AV110" s="783"/>
      <c r="AW110" s="783"/>
      <c r="AX110" s="783"/>
      <c r="AY110" s="783"/>
      <c r="AZ110" s="783"/>
      <c r="BA110" s="783"/>
      <c r="BB110" s="783"/>
      <c r="BC110" s="783"/>
      <c r="BD110" s="783"/>
      <c r="BE110" s="783"/>
      <c r="BF110" s="783"/>
      <c r="BG110" s="783"/>
      <c r="BH110" s="783"/>
      <c r="BT110" s="783"/>
      <c r="BU110" s="783"/>
      <c r="BV110" s="783"/>
      <c r="BW110" s="783"/>
      <c r="BX110" s="783"/>
      <c r="BY110" s="783"/>
      <c r="BZ110" s="783"/>
      <c r="CA110" s="783"/>
      <c r="CB110" s="48"/>
      <c r="CC110" s="48"/>
      <c r="CD110" s="694"/>
      <c r="CE110" s="694"/>
      <c r="CF110" s="694"/>
    </row>
    <row r="111" spans="1:86" ht="14">
      <c r="D111" s="765" t="s">
        <v>20</v>
      </c>
      <c r="E111" s="766">
        <v>9</v>
      </c>
      <c r="F111" s="767">
        <v>4</v>
      </c>
      <c r="G111" s="768">
        <v>13</v>
      </c>
      <c r="I111" s="48"/>
      <c r="J111" s="693"/>
      <c r="K111" s="693"/>
      <c r="L111" s="693"/>
      <c r="M111" s="693"/>
      <c r="N111"/>
      <c r="O111"/>
      <c r="P111"/>
      <c r="Q111"/>
      <c r="R111" s="48"/>
      <c r="S111" s="693"/>
      <c r="T111" s="693"/>
      <c r="U111" s="693"/>
      <c r="V111" s="693"/>
      <c r="W111" s="693"/>
      <c r="X111" s="708" t="s">
        <v>20</v>
      </c>
      <c r="Y111" s="709">
        <v>0.69230769230769229</v>
      </c>
      <c r="Z111" s="752">
        <v>0.30769230769230771</v>
      </c>
      <c r="AA111" s="735">
        <v>1</v>
      </c>
      <c r="AN111" s="783"/>
      <c r="AO111" s="783"/>
      <c r="AP111" s="783"/>
      <c r="AQ111" s="783"/>
      <c r="AR111" s="783"/>
      <c r="AS111" s="783"/>
      <c r="AT111" s="783"/>
      <c r="AU111" s="783"/>
      <c r="AV111" s="783"/>
      <c r="AW111" s="783"/>
      <c r="AX111" s="783"/>
      <c r="AY111" s="783"/>
      <c r="AZ111" s="783"/>
      <c r="BA111" s="783"/>
      <c r="BB111" s="783"/>
      <c r="BC111" s="783"/>
      <c r="BD111" s="783"/>
      <c r="BE111" s="783"/>
      <c r="BF111" s="783"/>
      <c r="BG111" s="783"/>
      <c r="BH111" s="783"/>
      <c r="BT111" s="783"/>
      <c r="BU111" s="783"/>
      <c r="BV111" s="783"/>
      <c r="BW111" s="783"/>
      <c r="BX111" s="783"/>
      <c r="BY111" s="783"/>
      <c r="BZ111" s="783"/>
      <c r="CA111" s="783"/>
      <c r="CB111" s="48"/>
      <c r="CC111" s="694"/>
      <c r="CD111" s="694"/>
      <c r="CE111" s="694"/>
      <c r="CF111" s="694"/>
    </row>
    <row r="112" spans="1:86" ht="14">
      <c r="D112" s="765" t="s">
        <v>540</v>
      </c>
      <c r="E112" s="766">
        <v>11</v>
      </c>
      <c r="F112" s="767">
        <v>2</v>
      </c>
      <c r="G112" s="768">
        <v>13</v>
      </c>
      <c r="I112" s="48"/>
      <c r="J112" s="693"/>
      <c r="K112" s="693"/>
      <c r="L112" s="693"/>
      <c r="M112" s="693"/>
      <c r="N112"/>
      <c r="O112"/>
      <c r="P112"/>
      <c r="Q112"/>
      <c r="R112" s="48"/>
      <c r="S112" s="693"/>
      <c r="T112" s="693"/>
      <c r="U112" s="693"/>
      <c r="V112" s="693"/>
      <c r="W112" s="693"/>
      <c r="X112" s="708" t="s">
        <v>540</v>
      </c>
      <c r="Y112" s="709">
        <v>0.84615384615384615</v>
      </c>
      <c r="Z112" s="752">
        <v>0.15384615384615385</v>
      </c>
      <c r="AA112" s="735">
        <v>1</v>
      </c>
      <c r="AC112" s="48"/>
      <c r="AD112" s="48"/>
      <c r="AE112" s="48"/>
      <c r="AF112" s="48"/>
      <c r="AG112" s="783"/>
      <c r="AH112" s="783"/>
      <c r="AI112" s="783"/>
      <c r="AJ112" s="783"/>
      <c r="AK112" s="783"/>
      <c r="AL112" s="783"/>
      <c r="AM112" s="783"/>
      <c r="AN112" s="783"/>
      <c r="AO112" s="783"/>
      <c r="AP112" s="783"/>
      <c r="AQ112" s="783"/>
      <c r="AR112" s="783"/>
      <c r="AS112" s="783"/>
      <c r="AT112" s="783"/>
      <c r="AU112" s="783"/>
      <c r="AV112" s="783"/>
      <c r="AW112" s="783"/>
      <c r="AX112" s="783"/>
      <c r="AY112" s="783"/>
      <c r="AZ112" s="783"/>
      <c r="BA112" s="783"/>
      <c r="BB112" s="783"/>
      <c r="BC112" s="783"/>
      <c r="BD112" s="783"/>
      <c r="BE112" s="783"/>
      <c r="BF112" s="783"/>
      <c r="BG112" s="783"/>
      <c r="BH112" s="783"/>
      <c r="BT112" s="783"/>
      <c r="BU112" s="783"/>
      <c r="BV112" s="783"/>
      <c r="BW112" s="783"/>
      <c r="BX112" s="783"/>
      <c r="BY112" s="783"/>
      <c r="BZ112" s="783"/>
      <c r="CA112" s="783"/>
      <c r="CB112" s="48"/>
      <c r="CC112" s="694"/>
      <c r="CD112" s="694"/>
      <c r="CE112" s="694"/>
      <c r="CF112" s="694"/>
    </row>
    <row r="113" spans="4:84" ht="14">
      <c r="D113" s="765" t="s">
        <v>543</v>
      </c>
      <c r="E113" s="766">
        <v>4</v>
      </c>
      <c r="F113" s="767">
        <v>1</v>
      </c>
      <c r="G113" s="768">
        <v>5</v>
      </c>
      <c r="I113" s="48"/>
      <c r="J113" s="693"/>
      <c r="K113" s="693"/>
      <c r="L113" s="693"/>
      <c r="M113" s="693"/>
      <c r="N113"/>
      <c r="O113"/>
      <c r="P113"/>
      <c r="Q113"/>
      <c r="R113" s="48"/>
      <c r="S113" s="693"/>
      <c r="T113" s="693"/>
      <c r="U113" s="693"/>
      <c r="V113" s="693"/>
      <c r="W113" s="693"/>
      <c r="X113" s="708" t="s">
        <v>543</v>
      </c>
      <c r="Y113" s="709">
        <v>0.8</v>
      </c>
      <c r="Z113" s="752">
        <v>0.2</v>
      </c>
      <c r="AA113" s="735">
        <v>1</v>
      </c>
      <c r="AC113" s="48"/>
      <c r="AD113" s="48"/>
      <c r="AE113" s="48"/>
      <c r="AF113" s="48"/>
      <c r="AG113" s="783"/>
      <c r="AH113" s="783"/>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783"/>
      <c r="BH113" s="783"/>
      <c r="BT113" s="48"/>
      <c r="BU113" s="48"/>
      <c r="BV113" s="48"/>
      <c r="BW113" s="48"/>
      <c r="BX113" s="48"/>
      <c r="BY113" s="48"/>
      <c r="BZ113" s="48"/>
      <c r="CA113" s="48"/>
      <c r="CB113" s="48"/>
      <c r="CC113" s="694"/>
      <c r="CD113" s="694"/>
      <c r="CE113" s="694"/>
      <c r="CF113" s="694"/>
    </row>
    <row r="114" spans="4:84" ht="14">
      <c r="D114" s="769" t="s">
        <v>235</v>
      </c>
      <c r="E114" s="770">
        <v>200</v>
      </c>
      <c r="F114" s="771">
        <v>120</v>
      </c>
      <c r="G114" s="772">
        <v>320</v>
      </c>
      <c r="I114" s="48"/>
      <c r="J114" s="693"/>
      <c r="K114" s="693"/>
      <c r="L114" s="693"/>
      <c r="M114" s="693"/>
      <c r="N114"/>
      <c r="O114"/>
      <c r="P114"/>
      <c r="Q114"/>
      <c r="R114" s="48"/>
      <c r="S114" s="693"/>
      <c r="T114" s="693"/>
      <c r="U114" s="693"/>
      <c r="V114" s="693"/>
      <c r="W114" s="693"/>
      <c r="X114" s="713" t="s">
        <v>235</v>
      </c>
      <c r="Y114" s="714">
        <v>0.625</v>
      </c>
      <c r="Z114" s="755">
        <v>0.375</v>
      </c>
      <c r="AA114" s="736">
        <v>1</v>
      </c>
      <c r="AC114" s="48"/>
      <c r="AD114" s="48"/>
      <c r="AE114" s="48"/>
      <c r="AF114" s="48"/>
      <c r="AG114" s="783"/>
      <c r="AH114" s="783"/>
      <c r="AI114" s="783"/>
      <c r="AJ114" s="783"/>
      <c r="AK114" s="783"/>
      <c r="AL114" s="783"/>
      <c r="AM114" s="783"/>
      <c r="AN114" s="783"/>
      <c r="AO114" s="783"/>
      <c r="AP114" s="783"/>
      <c r="AQ114" s="783"/>
      <c r="AR114" s="783"/>
      <c r="AS114" s="783"/>
      <c r="AT114" s="783"/>
      <c r="AU114" s="783"/>
      <c r="AV114" s="783"/>
      <c r="AW114" s="783"/>
      <c r="AX114" s="783"/>
      <c r="AY114" s="783"/>
      <c r="AZ114" s="783"/>
      <c r="BA114" s="783"/>
      <c r="BB114" s="783"/>
      <c r="BC114" s="783"/>
      <c r="BD114" s="783"/>
      <c r="BE114" s="783"/>
      <c r="BF114" s="783"/>
      <c r="BG114" s="783"/>
      <c r="BH114" s="783"/>
      <c r="BT114" s="48"/>
      <c r="BU114" s="48"/>
      <c r="BV114" s="48"/>
      <c r="BW114" s="48"/>
      <c r="BX114" s="48"/>
      <c r="BY114" s="48"/>
      <c r="BZ114" s="48"/>
      <c r="CA114" s="48"/>
      <c r="CB114" s="48"/>
      <c r="CC114" s="694"/>
      <c r="CD114" s="694"/>
      <c r="CE114" s="694"/>
      <c r="CF114" s="694"/>
    </row>
    <row r="115" spans="4:84" ht="14">
      <c r="D115" s="1021"/>
      <c r="E115" s="1022"/>
      <c r="F115" s="1022"/>
      <c r="G115" s="1022"/>
      <c r="I115" s="48"/>
      <c r="J115" s="693"/>
      <c r="K115" s="693"/>
      <c r="L115" s="693"/>
      <c r="M115" s="693"/>
      <c r="N115"/>
      <c r="O115"/>
      <c r="P115"/>
      <c r="Q115"/>
      <c r="R115" s="48"/>
      <c r="S115" s="693"/>
      <c r="T115" s="693"/>
      <c r="U115" s="693"/>
      <c r="V115" s="693"/>
      <c r="W115" s="693"/>
      <c r="X115" s="1023"/>
      <c r="Y115" s="988"/>
      <c r="Z115" s="988"/>
      <c r="AA115" s="1024"/>
      <c r="AC115" s="48"/>
      <c r="AD115" s="48"/>
      <c r="AE115" s="48"/>
      <c r="AF115" s="48"/>
      <c r="AG115" s="783"/>
      <c r="AH115" s="783"/>
      <c r="AI115" s="783"/>
      <c r="AJ115" s="783"/>
      <c r="AK115" s="783"/>
      <c r="AL115" s="783"/>
      <c r="AM115" s="783"/>
      <c r="AN115" s="783"/>
      <c r="AO115" s="783"/>
      <c r="AP115" s="783"/>
      <c r="AQ115" s="783"/>
      <c r="AR115" s="783"/>
      <c r="AS115" s="783"/>
      <c r="AT115" s="783"/>
      <c r="AU115" s="783"/>
      <c r="AV115" s="783"/>
      <c r="AW115" s="783"/>
      <c r="AX115" s="783"/>
      <c r="AY115" s="783"/>
      <c r="AZ115" s="783"/>
      <c r="BA115" s="783"/>
      <c r="BB115" s="783"/>
      <c r="BC115" s="783"/>
      <c r="BD115" s="783"/>
      <c r="BE115" s="783"/>
      <c r="BF115" s="783"/>
      <c r="BG115" s="783"/>
      <c r="BH115" s="783"/>
      <c r="BT115" s="48"/>
      <c r="BU115" s="48"/>
      <c r="BV115" s="48"/>
      <c r="BW115" s="48"/>
      <c r="BX115" s="48"/>
      <c r="BY115" s="48"/>
      <c r="BZ115" s="48"/>
      <c r="CA115" s="48"/>
      <c r="CB115" s="48"/>
      <c r="CC115" s="694"/>
      <c r="CD115" s="694"/>
      <c r="CE115" s="694"/>
      <c r="CF115" s="694"/>
    </row>
    <row r="116" spans="4:84" ht="14">
      <c r="D116" s="1021"/>
      <c r="E116" s="1022"/>
      <c r="F116" s="1022"/>
      <c r="G116" s="1022"/>
      <c r="I116" s="48"/>
      <c r="J116" s="693"/>
      <c r="K116" s="693"/>
      <c r="L116" s="693"/>
      <c r="M116" s="693"/>
      <c r="N116" s="48"/>
      <c r="O116" s="48"/>
      <c r="P116" s="48"/>
      <c r="Q116" s="48"/>
      <c r="R116" s="48"/>
      <c r="S116" s="693"/>
      <c r="T116" s="693"/>
      <c r="U116" s="693"/>
      <c r="V116" s="693"/>
      <c r="W116" s="693"/>
      <c r="X116" s="1023"/>
      <c r="Y116" s="988"/>
      <c r="Z116" s="988"/>
      <c r="AA116" s="1024"/>
      <c r="AC116" s="48"/>
      <c r="AD116" s="48"/>
      <c r="AE116" s="48"/>
      <c r="AF116" s="48"/>
      <c r="AG116" s="783"/>
      <c r="AH116" s="783"/>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T116" s="48"/>
      <c r="BU116" s="48"/>
      <c r="BV116" s="48"/>
      <c r="BW116" s="48"/>
      <c r="BX116" s="48"/>
      <c r="BY116" s="48"/>
      <c r="BZ116" s="48"/>
      <c r="CA116" s="48"/>
      <c r="CB116" s="48"/>
      <c r="CC116" s="694"/>
      <c r="CD116" s="694"/>
      <c r="CE116" s="694"/>
      <c r="CF116" s="694"/>
    </row>
    <row r="117" spans="4:84" ht="14">
      <c r="D117" s="1021"/>
      <c r="E117" s="1022"/>
      <c r="F117" s="1022"/>
      <c r="G117" s="1022"/>
      <c r="I117" s="48"/>
      <c r="J117" s="693"/>
      <c r="K117" s="693"/>
      <c r="L117" s="693"/>
      <c r="M117" s="693"/>
      <c r="N117" s="48"/>
      <c r="O117" s="48"/>
      <c r="P117" s="48"/>
      <c r="Q117" s="48"/>
      <c r="R117" s="48"/>
      <c r="S117" s="693"/>
      <c r="T117" s="693"/>
      <c r="U117" s="693"/>
      <c r="V117" s="693"/>
      <c r="W117" s="693"/>
      <c r="X117" s="1023"/>
      <c r="Y117" s="988"/>
      <c r="Z117" s="988"/>
      <c r="AA117" s="1024"/>
      <c r="AC117" s="48"/>
      <c r="AD117" s="48"/>
      <c r="AE117" s="48"/>
      <c r="AF117" s="48"/>
      <c r="AG117" s="783"/>
      <c r="AH117" s="783"/>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T117" s="48"/>
      <c r="BU117" s="48"/>
      <c r="BV117" s="48"/>
      <c r="BW117" s="48"/>
      <c r="BX117" s="48"/>
      <c r="BY117" s="48"/>
      <c r="BZ117" s="48"/>
      <c r="CA117" s="48"/>
      <c r="CB117" s="48"/>
      <c r="CC117" s="694"/>
      <c r="CD117" s="694"/>
      <c r="CE117" s="694"/>
      <c r="CF117" s="694"/>
    </row>
    <row r="118" spans="4:84" ht="14">
      <c r="D118" s="1021"/>
      <c r="E118" s="1022"/>
      <c r="F118" s="1022"/>
      <c r="G118" s="1022"/>
      <c r="I118" s="48"/>
      <c r="J118" s="693"/>
      <c r="K118" s="693"/>
      <c r="L118" s="693"/>
      <c r="M118" s="693"/>
      <c r="N118" s="48"/>
      <c r="O118" s="48"/>
      <c r="P118" s="48"/>
      <c r="Q118" s="48"/>
      <c r="R118" s="48"/>
      <c r="S118" s="693"/>
      <c r="T118" s="693"/>
      <c r="U118" s="693"/>
      <c r="V118" s="693"/>
      <c r="W118" s="693"/>
      <c r="X118" s="1023"/>
      <c r="Y118" s="988"/>
      <c r="Z118" s="988"/>
      <c r="AA118" s="1024"/>
      <c r="AC118" s="48"/>
      <c r="AD118" s="48"/>
      <c r="AE118" s="48"/>
      <c r="AF118" s="48"/>
      <c r="AG118" s="783"/>
      <c r="AH118" s="783"/>
      <c r="AI118" s="783"/>
      <c r="AJ118" s="783"/>
      <c r="AK118" s="783"/>
      <c r="AL118" s="783"/>
      <c r="AM118" s="783"/>
      <c r="AN118" s="783"/>
      <c r="AO118" s="783"/>
      <c r="AP118" s="783"/>
      <c r="AQ118" s="783"/>
      <c r="AR118" s="783"/>
      <c r="AS118" s="783"/>
      <c r="AT118" s="783"/>
      <c r="AU118" s="783"/>
      <c r="AV118" s="783"/>
      <c r="AW118" s="783"/>
      <c r="AX118" s="783"/>
      <c r="AY118" s="783"/>
      <c r="AZ118" s="783"/>
      <c r="BA118" s="783"/>
      <c r="BB118" s="783"/>
      <c r="BC118" s="783"/>
      <c r="BD118" s="783"/>
      <c r="BE118" s="783"/>
      <c r="BF118" s="783"/>
      <c r="BG118" s="783"/>
      <c r="BH118" s="783"/>
      <c r="BT118" s="48"/>
      <c r="BU118" s="48"/>
      <c r="BV118" s="48"/>
      <c r="BW118" s="48"/>
      <c r="BX118" s="48"/>
      <c r="BY118" s="48"/>
      <c r="BZ118" s="48"/>
      <c r="CA118" s="48"/>
      <c r="CB118" s="48"/>
      <c r="CC118" s="694"/>
      <c r="CD118" s="694"/>
      <c r="CE118" s="694"/>
      <c r="CF118" s="694"/>
    </row>
    <row r="119" spans="4:84" ht="14">
      <c r="E119"/>
      <c r="F119"/>
      <c r="G119"/>
      <c r="H119"/>
      <c r="I119"/>
      <c r="N119"/>
      <c r="O119"/>
      <c r="P119"/>
      <c r="Q119"/>
      <c r="R119"/>
      <c r="AC119" s="48"/>
      <c r="AD119" s="48"/>
      <c r="AE119" s="48"/>
      <c r="AF119" s="48"/>
      <c r="AG119" s="783"/>
      <c r="AH119" s="783"/>
      <c r="AI119" s="783"/>
      <c r="AJ119" s="783"/>
      <c r="AK119" s="783"/>
      <c r="AL119" s="783"/>
      <c r="AM119" s="783"/>
      <c r="AN119" s="783"/>
      <c r="AO119" s="783"/>
      <c r="AP119" s="783"/>
      <c r="AQ119" s="783"/>
      <c r="AR119" s="783"/>
      <c r="AS119" s="783"/>
      <c r="AT119" s="783"/>
      <c r="AU119" s="783"/>
      <c r="AV119" s="783"/>
      <c r="AW119" s="783"/>
      <c r="AX119" s="783"/>
      <c r="AY119" s="783"/>
      <c r="AZ119" s="783"/>
      <c r="BA119" s="783"/>
      <c r="BB119" s="783"/>
      <c r="BC119" s="783"/>
      <c r="BD119" s="783"/>
      <c r="BE119" s="783"/>
      <c r="BF119" s="783"/>
      <c r="BG119" s="783"/>
      <c r="BH119" s="783"/>
      <c r="CC119" s="8"/>
      <c r="CD119" s="8"/>
      <c r="CE119" s="8"/>
      <c r="CF119" s="8"/>
    </row>
    <row r="120" spans="4:84" ht="14">
      <c r="E120"/>
      <c r="F120"/>
      <c r="G120"/>
      <c r="H120"/>
      <c r="I120"/>
      <c r="N120"/>
      <c r="O120"/>
      <c r="P120"/>
      <c r="Q120"/>
      <c r="R120"/>
      <c r="AB120" s="14"/>
      <c r="AC120" s="48"/>
      <c r="AD120" s="48"/>
      <c r="AE120" s="48"/>
      <c r="AF120" s="48"/>
      <c r="AG120" s="783"/>
      <c r="AH120" s="783"/>
      <c r="AI120" s="783"/>
      <c r="AJ120" s="783"/>
      <c r="AK120" s="783"/>
      <c r="AL120" s="783"/>
      <c r="AM120" s="783"/>
      <c r="AN120" s="783"/>
      <c r="AO120" s="783"/>
      <c r="AP120" s="783"/>
      <c r="AQ120" s="783"/>
      <c r="AR120" s="783"/>
      <c r="AS120" s="783"/>
      <c r="AT120" s="783"/>
      <c r="AU120" s="783"/>
      <c r="AV120" s="783"/>
      <c r="AW120" s="783"/>
      <c r="AX120" s="783"/>
      <c r="AY120" s="783"/>
      <c r="AZ120" s="783"/>
      <c r="BA120" s="783"/>
      <c r="BB120" s="783"/>
      <c r="BC120" s="783"/>
      <c r="BD120" s="783"/>
      <c r="BE120" s="783"/>
      <c r="BF120" s="783"/>
      <c r="BG120" s="783"/>
      <c r="BH120" s="783"/>
      <c r="CC120" s="8"/>
      <c r="CD120" s="8"/>
      <c r="CE120" s="8"/>
      <c r="CF120" s="8"/>
    </row>
    <row r="121" spans="4:84" ht="14">
      <c r="E121"/>
      <c r="F121"/>
      <c r="G121"/>
      <c r="H121"/>
      <c r="I121"/>
      <c r="N121"/>
      <c r="O121"/>
      <c r="P121"/>
      <c r="Q121"/>
      <c r="R121"/>
      <c r="X121" s="25"/>
      <c r="AB121" s="14"/>
      <c r="AC121" s="48"/>
      <c r="AD121" s="48"/>
      <c r="AE121" s="48"/>
      <c r="AF121" s="48"/>
      <c r="AG121" s="783"/>
      <c r="AH121" s="783"/>
      <c r="AI121" s="783"/>
      <c r="AJ121" s="783"/>
      <c r="AK121" s="783"/>
      <c r="AL121" s="783"/>
      <c r="AM121" s="783"/>
      <c r="AN121" s="783"/>
      <c r="AO121" s="783"/>
      <c r="AP121" s="783"/>
      <c r="AQ121" s="783"/>
      <c r="AR121" s="783"/>
      <c r="AS121" s="783"/>
      <c r="AT121" s="783"/>
      <c r="AU121" s="783"/>
      <c r="AV121" s="783"/>
      <c r="AW121" s="783"/>
      <c r="AX121" s="783"/>
      <c r="AY121" s="783"/>
      <c r="AZ121" s="783"/>
      <c r="BA121" s="783"/>
      <c r="BB121" s="783"/>
      <c r="BC121" s="783"/>
      <c r="BD121" s="783"/>
      <c r="BE121" s="783"/>
      <c r="BF121" s="783"/>
      <c r="BG121" s="783"/>
      <c r="BH121" s="783"/>
      <c r="CC121" s="8"/>
      <c r="CD121" s="8"/>
      <c r="CE121" s="8"/>
      <c r="CF121" s="8"/>
    </row>
    <row r="122" spans="4:84" ht="14">
      <c r="E122"/>
      <c r="F122"/>
      <c r="G122"/>
      <c r="H122"/>
      <c r="I122"/>
      <c r="N122"/>
      <c r="O122"/>
      <c r="P122"/>
      <c r="Q122"/>
      <c r="R122"/>
      <c r="X122" s="25"/>
      <c r="AB122" s="14"/>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CC122" s="8"/>
      <c r="CD122" s="8"/>
      <c r="CE122" s="8"/>
      <c r="CF122" s="8"/>
    </row>
    <row r="123" spans="4:84" ht="14">
      <c r="E123"/>
      <c r="F123"/>
      <c r="G123"/>
      <c r="H123"/>
      <c r="I123"/>
      <c r="N123"/>
      <c r="O123"/>
      <c r="P123"/>
      <c r="Q123"/>
      <c r="R123"/>
      <c r="X123" s="25"/>
      <c r="AB123" s="14"/>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CC123" s="8"/>
      <c r="CD123" s="8"/>
      <c r="CE123" s="8"/>
      <c r="CF123" s="8"/>
    </row>
    <row r="124" spans="4:84">
      <c r="E124"/>
      <c r="F124"/>
      <c r="G124"/>
      <c r="H124"/>
      <c r="I124"/>
      <c r="N124"/>
      <c r="O124"/>
      <c r="P124"/>
      <c r="Q124"/>
      <c r="R124"/>
      <c r="X124" s="25"/>
      <c r="AB124" s="14"/>
      <c r="AC124"/>
      <c r="AD124"/>
      <c r="AE124"/>
      <c r="AF124"/>
      <c r="AG124"/>
      <c r="AH124"/>
      <c r="AI124"/>
      <c r="AJ124"/>
      <c r="AK124"/>
      <c r="AL124"/>
      <c r="CC124" s="8"/>
      <c r="CD124" s="8"/>
      <c r="CE124" s="8"/>
      <c r="CF124" s="8"/>
    </row>
    <row r="125" spans="4:84">
      <c r="E125"/>
      <c r="F125"/>
      <c r="G125"/>
      <c r="H125"/>
      <c r="I125"/>
      <c r="N125"/>
      <c r="O125"/>
      <c r="P125"/>
      <c r="Q125"/>
      <c r="R125"/>
      <c r="X125" s="25"/>
      <c r="AB125" s="14"/>
      <c r="AC125"/>
      <c r="AD125"/>
      <c r="AE125"/>
      <c r="AF125"/>
      <c r="AG125"/>
      <c r="AH125"/>
      <c r="AI125"/>
      <c r="AJ125"/>
      <c r="AK125"/>
      <c r="AL125"/>
      <c r="CC125" s="8"/>
      <c r="CD125" s="8"/>
      <c r="CE125" s="8"/>
      <c r="CF125" s="8"/>
    </row>
    <row r="126" spans="4:84">
      <c r="E126"/>
      <c r="F126"/>
      <c r="G126"/>
      <c r="H126"/>
      <c r="I126"/>
      <c r="X126" s="25"/>
      <c r="AB126" s="14"/>
      <c r="AC126"/>
      <c r="AD126"/>
      <c r="AE126"/>
      <c r="AF126"/>
      <c r="AG126"/>
      <c r="AH126"/>
      <c r="AI126"/>
      <c r="AJ126"/>
      <c r="AK126"/>
      <c r="AL126"/>
      <c r="CC126" s="8"/>
      <c r="CD126" s="8"/>
      <c r="CE126" s="8"/>
      <c r="CF126" s="8"/>
    </row>
    <row r="127" spans="4:84">
      <c r="E127"/>
      <c r="F127"/>
      <c r="G127"/>
      <c r="H127"/>
      <c r="I127"/>
      <c r="X127" s="25"/>
      <c r="AB127" s="14"/>
      <c r="AC127"/>
      <c r="AD127"/>
      <c r="AE127"/>
      <c r="AF127"/>
      <c r="AG127"/>
      <c r="AH127"/>
      <c r="AI127"/>
      <c r="AJ127"/>
      <c r="AK127"/>
      <c r="AL127"/>
      <c r="CC127" s="8"/>
      <c r="CD127" s="8"/>
      <c r="CE127" s="8"/>
      <c r="CF127" s="8"/>
    </row>
    <row r="128" spans="4:84">
      <c r="E128"/>
      <c r="F128"/>
      <c r="G128"/>
      <c r="H128"/>
      <c r="I128"/>
      <c r="X128" s="25"/>
      <c r="AB128" s="14"/>
      <c r="AC128"/>
      <c r="AD128"/>
      <c r="AE128"/>
      <c r="AF128"/>
      <c r="AG128"/>
      <c r="AH128"/>
      <c r="AI128"/>
      <c r="AJ128"/>
      <c r="AK128"/>
      <c r="AL128"/>
      <c r="CC128" s="8"/>
      <c r="CD128" s="8"/>
      <c r="CE128" s="8"/>
      <c r="CF128" s="8"/>
    </row>
    <row r="129" spans="2:84">
      <c r="E129"/>
      <c r="F129"/>
      <c r="G129"/>
      <c r="H129"/>
      <c r="I129"/>
      <c r="X129" s="25"/>
      <c r="AB129" s="14"/>
      <c r="AC129"/>
      <c r="AD129"/>
      <c r="AE129"/>
      <c r="AF129"/>
      <c r="AG129"/>
      <c r="AH129"/>
      <c r="AI129"/>
      <c r="AJ129"/>
      <c r="AK129"/>
      <c r="AL129"/>
      <c r="CC129" s="8"/>
      <c r="CD129" s="8"/>
      <c r="CE129" s="8"/>
      <c r="CF129" s="8"/>
    </row>
    <row r="130" spans="2:84">
      <c r="E130"/>
      <c r="F130"/>
      <c r="G130"/>
      <c r="H130"/>
      <c r="I130"/>
      <c r="X130" s="25"/>
      <c r="AB130" s="14"/>
      <c r="AC130"/>
      <c r="AD130"/>
      <c r="AE130"/>
      <c r="AF130"/>
      <c r="AG130"/>
      <c r="AH130"/>
      <c r="AI130"/>
      <c r="AJ130"/>
      <c r="AK130"/>
      <c r="AL130"/>
      <c r="CC130" s="8"/>
      <c r="CD130" s="8"/>
      <c r="CE130" s="8"/>
      <c r="CF130" s="8"/>
    </row>
    <row r="131" spans="2:84">
      <c r="D131" s="23"/>
      <c r="E131"/>
      <c r="F131"/>
      <c r="G131"/>
      <c r="H131"/>
      <c r="I131"/>
      <c r="X131" s="25"/>
      <c r="AB131" s="14"/>
      <c r="AC131"/>
      <c r="AD131"/>
      <c r="AE131"/>
      <c r="AF131"/>
      <c r="AG131"/>
      <c r="AH131"/>
      <c r="AI131"/>
      <c r="AJ131"/>
      <c r="AK131"/>
      <c r="AL131"/>
      <c r="CC131" s="8"/>
      <c r="CD131" s="8"/>
      <c r="CE131" s="8"/>
      <c r="CF131" s="8"/>
    </row>
    <row r="132" spans="2:84">
      <c r="E132"/>
      <c r="F132"/>
      <c r="G132"/>
      <c r="H132"/>
      <c r="I132"/>
      <c r="X132" s="25"/>
      <c r="AB132" s="14"/>
      <c r="AC132"/>
      <c r="AD132"/>
      <c r="AE132"/>
      <c r="AF132"/>
      <c r="AG132"/>
      <c r="AH132"/>
      <c r="AI132"/>
      <c r="AJ132"/>
      <c r="AK132"/>
      <c r="AL132"/>
      <c r="BT132" s="14"/>
      <c r="BU132" s="14"/>
      <c r="BV132" s="14"/>
      <c r="BW132" s="14"/>
      <c r="BX132" s="14"/>
      <c r="BY132" s="14"/>
      <c r="BZ132" s="14"/>
      <c r="CA132" s="14"/>
      <c r="CB132" s="14"/>
      <c r="CC132" s="8"/>
      <c r="CD132" s="8"/>
      <c r="CE132" s="8"/>
      <c r="CF132" s="8"/>
    </row>
    <row r="133" spans="2:84">
      <c r="E133"/>
      <c r="F133"/>
      <c r="G133"/>
      <c r="H133"/>
      <c r="I133"/>
      <c r="X133" s="25"/>
      <c r="AB133" s="14"/>
      <c r="AC133"/>
      <c r="AD133"/>
      <c r="AE133"/>
      <c r="AF133"/>
      <c r="AG133"/>
      <c r="AH133"/>
      <c r="AI133"/>
      <c r="AJ133"/>
      <c r="AK133"/>
      <c r="AL133"/>
      <c r="BT133" s="14"/>
      <c r="BU133" s="14"/>
      <c r="BV133" s="14"/>
      <c r="BW133" s="14"/>
      <c r="BX133" s="14"/>
      <c r="BY133" s="14"/>
      <c r="BZ133" s="14"/>
      <c r="CA133" s="14"/>
      <c r="CB133" s="14"/>
      <c r="CC133" s="8"/>
      <c r="CD133" s="8"/>
      <c r="CE133" s="8"/>
      <c r="CF133" s="8"/>
    </row>
    <row r="134" spans="2:84">
      <c r="E134"/>
      <c r="F134"/>
      <c r="G134"/>
      <c r="H134"/>
      <c r="I134"/>
      <c r="X134" s="25"/>
      <c r="AB134" s="14"/>
      <c r="AC134"/>
      <c r="AD134"/>
      <c r="AE134"/>
      <c r="AF134"/>
      <c r="AG134"/>
      <c r="AH134"/>
      <c r="AI134"/>
      <c r="AJ134"/>
      <c r="AK134"/>
      <c r="AL134"/>
      <c r="BT134" s="14"/>
      <c r="BU134" s="14"/>
      <c r="BV134" s="14"/>
      <c r="BW134" s="14"/>
      <c r="BX134" s="14"/>
      <c r="BY134" s="14"/>
      <c r="BZ134" s="14"/>
      <c r="CA134" s="14"/>
      <c r="CB134" s="14"/>
      <c r="CC134" s="8"/>
      <c r="CD134" s="8"/>
      <c r="CE134" s="8"/>
      <c r="CF134" s="8"/>
    </row>
    <row r="135" spans="2:84">
      <c r="X135" s="25"/>
      <c r="AB135" s="14"/>
      <c r="AC135"/>
      <c r="AD135"/>
      <c r="AE135"/>
      <c r="AF135"/>
      <c r="AG135"/>
      <c r="AH135"/>
      <c r="AI135"/>
      <c r="AJ135"/>
      <c r="AK135"/>
      <c r="AL135"/>
      <c r="BI135" s="14"/>
      <c r="BJ135" s="14"/>
      <c r="BK135" s="14"/>
      <c r="BL135" s="14"/>
      <c r="BM135" s="14"/>
      <c r="BN135" s="14"/>
      <c r="BO135" s="14"/>
      <c r="BP135" s="14"/>
      <c r="BQ135" s="14"/>
      <c r="BR135" s="14"/>
      <c r="BS135" s="14"/>
      <c r="BT135" s="14"/>
      <c r="BU135" s="14"/>
      <c r="BV135" s="14"/>
      <c r="BW135" s="14"/>
      <c r="BX135" s="14"/>
      <c r="BY135" s="14"/>
      <c r="BZ135" s="14"/>
      <c r="CA135" s="14"/>
      <c r="CB135" s="14"/>
      <c r="CC135" s="8"/>
      <c r="CD135" s="8"/>
      <c r="CE135" s="8"/>
      <c r="CF135" s="8"/>
    </row>
    <row r="136" spans="2:84">
      <c r="X136" s="25"/>
      <c r="AB136" s="14"/>
      <c r="AC136"/>
      <c r="AD136"/>
      <c r="AE136"/>
      <c r="AF136"/>
      <c r="AG136"/>
      <c r="AH136"/>
      <c r="AI136"/>
      <c r="AJ136"/>
      <c r="AK136"/>
      <c r="AL136"/>
      <c r="BI136" s="14"/>
      <c r="BJ136" s="14"/>
      <c r="BK136" s="14"/>
      <c r="BL136" s="14"/>
      <c r="BM136" s="14"/>
      <c r="BN136" s="14"/>
      <c r="BO136" s="14"/>
      <c r="BP136" s="14"/>
      <c r="BQ136" s="14"/>
      <c r="BR136" s="14"/>
      <c r="BS136" s="14"/>
      <c r="BT136" s="14"/>
      <c r="BU136" s="14"/>
      <c r="BV136" s="14"/>
      <c r="BW136" s="14"/>
      <c r="BX136" s="14"/>
      <c r="BY136" s="14"/>
      <c r="BZ136" s="14"/>
      <c r="CA136" s="14"/>
      <c r="CB136" s="14"/>
      <c r="CC136" s="8"/>
      <c r="CD136" s="8"/>
      <c r="CE136" s="8"/>
      <c r="CF136" s="8"/>
    </row>
    <row r="137" spans="2:84">
      <c r="X137" s="25"/>
      <c r="AB137" s="14"/>
      <c r="AC137"/>
      <c r="AD137"/>
      <c r="AE137"/>
      <c r="AF137"/>
      <c r="AG137"/>
      <c r="AH137"/>
      <c r="AI137"/>
      <c r="AJ137"/>
      <c r="AK137"/>
      <c r="AL137"/>
      <c r="BI137" s="14"/>
      <c r="BJ137" s="14"/>
      <c r="BK137" s="14"/>
      <c r="BL137" s="14"/>
      <c r="BM137" s="14"/>
      <c r="BN137" s="14"/>
      <c r="BO137" s="14"/>
      <c r="BP137" s="14"/>
      <c r="BQ137" s="14"/>
      <c r="BR137" s="14"/>
      <c r="BS137" s="14"/>
      <c r="BT137" s="14"/>
      <c r="BU137" s="14"/>
      <c r="BV137" s="14"/>
      <c r="BW137" s="14"/>
      <c r="BX137" s="14"/>
      <c r="BY137" s="14"/>
      <c r="BZ137" s="14"/>
      <c r="CA137" s="14"/>
      <c r="CB137" s="14"/>
      <c r="CC137" s="8"/>
      <c r="CD137" s="8"/>
      <c r="CE137" s="8"/>
      <c r="CF137" s="8"/>
    </row>
    <row r="138" spans="2:84" ht="44" customHeight="1">
      <c r="D138" s="1428" t="s">
        <v>472</v>
      </c>
      <c r="E138" s="1429"/>
      <c r="F138" s="1435"/>
      <c r="G138" s="1436" t="s">
        <v>477</v>
      </c>
      <c r="H138" s="1431"/>
      <c r="I138" s="1431"/>
      <c r="J138" s="1431"/>
      <c r="K138" s="1431"/>
      <c r="L138" s="1431"/>
      <c r="M138" s="1431"/>
      <c r="N138" s="1431"/>
      <c r="O138" s="1431"/>
      <c r="P138" s="1431"/>
      <c r="Q138" s="1431"/>
      <c r="R138" s="1431"/>
      <c r="S138" s="1431"/>
      <c r="T138" s="1431"/>
      <c r="U138" s="1431"/>
      <c r="V138" s="1431"/>
      <c r="W138" s="1431"/>
      <c r="X138" s="1431"/>
      <c r="Y138" s="1431"/>
      <c r="Z138" s="1431"/>
      <c r="AA138" s="1431"/>
      <c r="AB138" s="1431"/>
      <c r="AC138"/>
      <c r="AD138"/>
      <c r="AE138"/>
      <c r="AF138"/>
      <c r="AG138"/>
      <c r="AH138"/>
      <c r="AI138"/>
      <c r="AJ138"/>
      <c r="AK138"/>
      <c r="AL138"/>
      <c r="BI138" s="14"/>
      <c r="BJ138" s="14"/>
      <c r="BK138" s="14"/>
      <c r="BL138" s="14"/>
      <c r="BM138" s="14"/>
      <c r="BN138" s="14"/>
      <c r="BO138" s="14"/>
      <c r="BP138" s="14"/>
      <c r="BQ138" s="14"/>
      <c r="BR138" s="14"/>
      <c r="BS138" s="14"/>
      <c r="BT138" s="14"/>
      <c r="BU138" s="14"/>
      <c r="BV138" s="14"/>
      <c r="BW138" s="14"/>
      <c r="BX138" s="14"/>
      <c r="BY138" s="14"/>
      <c r="BZ138" s="14"/>
      <c r="CA138" s="14"/>
      <c r="CB138" s="14"/>
      <c r="CC138" s="8"/>
      <c r="CD138" s="8"/>
      <c r="CE138" s="8"/>
      <c r="CF138" s="8"/>
    </row>
    <row r="139" spans="2:84" ht="44" customHeight="1">
      <c r="D139" s="1428" t="s">
        <v>473</v>
      </c>
      <c r="E139" s="1429"/>
      <c r="F139" s="1435"/>
      <c r="G139" s="1436" t="s">
        <v>478</v>
      </c>
      <c r="H139" s="1431"/>
      <c r="I139" s="1431"/>
      <c r="J139" s="1431"/>
      <c r="K139" s="1431"/>
      <c r="L139" s="1431"/>
      <c r="M139" s="1431"/>
      <c r="N139" s="1431"/>
      <c r="O139" s="1431"/>
      <c r="P139" s="1431"/>
      <c r="Q139" s="1431"/>
      <c r="R139" s="1431"/>
      <c r="S139" s="1431"/>
      <c r="T139" s="1431"/>
      <c r="U139" s="1431"/>
      <c r="V139" s="1431"/>
      <c r="W139" s="1431"/>
      <c r="X139" s="1431"/>
      <c r="Y139" s="1431"/>
      <c r="Z139" s="1431"/>
      <c r="AA139" s="1431"/>
      <c r="AB139" s="1431"/>
      <c r="AC139"/>
      <c r="AD139"/>
      <c r="AE139"/>
      <c r="AF139"/>
      <c r="AG139"/>
      <c r="AH139"/>
      <c r="AI139"/>
      <c r="AJ139"/>
      <c r="AK139"/>
      <c r="AL139"/>
      <c r="BI139" s="14"/>
      <c r="BJ139" s="14"/>
      <c r="BK139" s="14"/>
      <c r="BL139" s="14"/>
      <c r="BM139" s="14"/>
      <c r="BN139" s="14"/>
      <c r="BO139" s="14"/>
      <c r="BP139" s="14"/>
      <c r="BQ139" s="14"/>
      <c r="BR139" s="14"/>
      <c r="BS139" s="14"/>
      <c r="BT139" s="14"/>
      <c r="BU139" s="14"/>
      <c r="BV139" s="14"/>
      <c r="BW139" s="14"/>
      <c r="BX139" s="14"/>
      <c r="BY139" s="14"/>
      <c r="BZ139" s="14"/>
      <c r="CA139" s="14"/>
      <c r="CB139" s="14"/>
      <c r="CC139" s="8"/>
      <c r="CD139" s="8"/>
      <c r="CE139" s="8"/>
      <c r="CF139" s="8"/>
    </row>
    <row r="140" spans="2:84">
      <c r="AB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8"/>
      <c r="CD140" s="8"/>
      <c r="CE140" s="8"/>
      <c r="CF140" s="8"/>
    </row>
    <row r="141" spans="2:84">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8"/>
      <c r="CD141" s="8"/>
      <c r="CE141" s="8"/>
      <c r="CF141" s="8"/>
    </row>
    <row r="142" spans="2:84">
      <c r="AB142" s="14"/>
      <c r="BI142" s="14"/>
      <c r="BJ142" s="14"/>
      <c r="BK142" s="14"/>
      <c r="BL142" s="14"/>
      <c r="BM142" s="14"/>
      <c r="BN142" s="14"/>
      <c r="BO142" s="14"/>
      <c r="BP142" s="14"/>
      <c r="BQ142" s="14"/>
      <c r="BR142" s="14"/>
      <c r="BS142" s="14"/>
      <c r="BT142" s="14"/>
      <c r="BU142" s="14"/>
      <c r="BV142" s="14"/>
      <c r="BW142" s="14"/>
      <c r="BX142" s="14"/>
      <c r="BY142" s="14"/>
      <c r="BZ142" s="14"/>
      <c r="CA142" s="14"/>
      <c r="CB142" s="14"/>
      <c r="CC142" s="8"/>
      <c r="CD142" s="8"/>
      <c r="CE142" s="8"/>
      <c r="CF142" s="8"/>
    </row>
    <row r="143" spans="2:84" ht="20">
      <c r="D143" s="430" t="s">
        <v>95</v>
      </c>
      <c r="Y143"/>
      <c r="AB143" s="14"/>
      <c r="AC143" s="8"/>
      <c r="AD143" s="8"/>
      <c r="AE143" s="8"/>
      <c r="AF143" s="8"/>
      <c r="AG143" s="8"/>
      <c r="AH143" s="8"/>
      <c r="AI143" s="8"/>
      <c r="AJ143" s="8"/>
      <c r="AK143" s="8"/>
      <c r="AL143" s="8"/>
      <c r="AM143" s="8"/>
      <c r="BI143" s="14"/>
      <c r="BJ143" s="14"/>
      <c r="BK143" s="14"/>
      <c r="BL143" s="14"/>
      <c r="BM143" s="14"/>
      <c r="BN143" s="14"/>
      <c r="BO143" s="14"/>
      <c r="BP143" s="14"/>
      <c r="BQ143" s="14"/>
      <c r="BR143" s="14"/>
      <c r="BS143" s="14"/>
      <c r="BT143" s="14"/>
      <c r="BU143" s="14"/>
      <c r="BV143" s="14"/>
      <c r="BW143" s="14"/>
      <c r="BX143" s="14"/>
      <c r="BY143" s="14"/>
      <c r="BZ143" s="14"/>
      <c r="CA143" s="14"/>
      <c r="CB143" s="14"/>
      <c r="CC143" s="8"/>
      <c r="CD143" s="8"/>
      <c r="CE143" s="8"/>
      <c r="CF143" s="8"/>
    </row>
    <row r="144" spans="2:84">
      <c r="D144" s="6"/>
      <c r="Y144"/>
      <c r="AB144" s="14"/>
      <c r="AC144" s="8"/>
      <c r="AD144" s="8"/>
      <c r="AE144" s="8"/>
      <c r="AF144" s="8"/>
      <c r="AG144" s="8"/>
      <c r="AH144" s="8"/>
      <c r="AI144" s="8"/>
      <c r="AJ144" s="8"/>
      <c r="AK144" s="8"/>
      <c r="AL144" s="8"/>
      <c r="AM144" s="8"/>
      <c r="BI144" s="14"/>
      <c r="BJ144" s="14"/>
      <c r="BK144" s="14"/>
      <c r="BL144" s="14"/>
      <c r="BM144" s="14"/>
      <c r="BN144" s="14"/>
      <c r="BO144" s="14"/>
      <c r="BP144" s="14"/>
      <c r="BQ144" s="14"/>
      <c r="BR144" s="14"/>
      <c r="BS144" s="14"/>
      <c r="BT144" s="14"/>
      <c r="BU144" s="14"/>
      <c r="BV144" s="14"/>
      <c r="BW144" s="14"/>
      <c r="BX144" s="14"/>
      <c r="BY144" s="14"/>
      <c r="BZ144" s="14"/>
      <c r="CA144" s="14"/>
      <c r="CB144" s="14"/>
      <c r="CC144" s="8"/>
      <c r="CD144" s="8"/>
      <c r="CE144" s="8"/>
      <c r="CF144" s="8"/>
    </row>
    <row r="145" spans="4:39">
      <c r="D145" s="1433" t="s">
        <v>217</v>
      </c>
      <c r="E145" s="1434"/>
      <c r="F145" s="1434"/>
      <c r="Y145"/>
      <c r="AB145" s="14"/>
      <c r="AC145" s="8"/>
      <c r="AD145" s="8"/>
      <c r="AE145" s="8"/>
      <c r="AF145" s="8"/>
      <c r="AG145" s="8"/>
      <c r="AH145" s="8"/>
      <c r="AI145" s="8"/>
      <c r="AJ145" s="8"/>
      <c r="AK145" s="8"/>
      <c r="AL145" s="8"/>
      <c r="AM145" s="8"/>
    </row>
    <row r="146" spans="4:39">
      <c r="D146" s="6" t="s">
        <v>191</v>
      </c>
      <c r="AB146" s="14"/>
      <c r="AC146" s="8"/>
      <c r="AD146" s="8"/>
      <c r="AE146" s="8"/>
      <c r="AF146" s="8"/>
      <c r="AG146" s="8"/>
      <c r="AH146" s="8"/>
      <c r="AI146" s="8"/>
      <c r="AJ146" s="8"/>
      <c r="AK146" s="8"/>
      <c r="AL146" s="8"/>
      <c r="AM146" s="8"/>
    </row>
    <row r="147" spans="4:39">
      <c r="D147" s="6"/>
      <c r="AB147" s="14"/>
      <c r="AC147" s="8"/>
      <c r="AD147" s="8"/>
      <c r="AE147" s="8"/>
      <c r="AF147" s="8"/>
      <c r="AG147" s="8"/>
      <c r="AH147" s="8"/>
      <c r="AI147" s="8"/>
      <c r="AJ147" s="8"/>
      <c r="AK147" s="8"/>
      <c r="AL147" s="8"/>
      <c r="AM147" s="8"/>
    </row>
    <row r="148" spans="4:39">
      <c r="D148" s="1437"/>
      <c r="E148" s="1438"/>
      <c r="F148" s="1438"/>
      <c r="G148" s="1438"/>
      <c r="H148" s="1438"/>
      <c r="I148" s="1438"/>
      <c r="J148" s="1438"/>
      <c r="K148" s="1438"/>
      <c r="L148" s="1438"/>
      <c r="M148" s="1438"/>
      <c r="N148" s="1438"/>
      <c r="O148" s="1438"/>
      <c r="AB148" s="14"/>
      <c r="AC148" s="8"/>
      <c r="AD148" s="8"/>
      <c r="AE148" s="8"/>
      <c r="AF148" s="8"/>
      <c r="AG148" s="8"/>
      <c r="AH148" s="8"/>
      <c r="AI148" s="8"/>
      <c r="AJ148" s="8"/>
      <c r="AK148" s="8"/>
      <c r="AL148" s="8"/>
      <c r="AM148" s="8"/>
    </row>
    <row r="149" spans="4:39">
      <c r="D149" s="77"/>
      <c r="AB149" s="14"/>
      <c r="AC149" s="8"/>
      <c r="AD149" s="8"/>
      <c r="AE149" s="8"/>
      <c r="AF149" s="8"/>
      <c r="AG149" s="8"/>
      <c r="AH149" s="8"/>
      <c r="AI149" s="8"/>
      <c r="AJ149" s="8"/>
      <c r="AK149" s="8"/>
      <c r="AL149" s="8"/>
      <c r="AM149" s="8"/>
    </row>
    <row r="150" spans="4:39">
      <c r="D150" s="6"/>
      <c r="AB150" s="14"/>
      <c r="AC150" s="8"/>
      <c r="AD150" s="8"/>
      <c r="AE150" s="8"/>
      <c r="AF150" s="8"/>
      <c r="AG150" s="8"/>
      <c r="AH150" s="8"/>
      <c r="AI150" s="8"/>
      <c r="AJ150" s="8"/>
      <c r="AK150" s="8"/>
      <c r="AL150" s="8"/>
      <c r="AM150" s="8"/>
    </row>
    <row r="151" spans="4:39">
      <c r="D151" s="63" t="s">
        <v>69</v>
      </c>
      <c r="E151" s="25"/>
      <c r="F151" s="25"/>
      <c r="G151" s="28"/>
      <c r="H151" s="27"/>
      <c r="I151" s="27"/>
      <c r="J151" s="25"/>
      <c r="L151" s="25"/>
      <c r="M151" s="25"/>
      <c r="N151" s="6" t="s">
        <v>70</v>
      </c>
      <c r="O151" s="16"/>
      <c r="X151" s="6" t="s">
        <v>223</v>
      </c>
      <c r="AB151" s="8"/>
      <c r="AC151" s="8"/>
      <c r="AD151" s="8"/>
      <c r="AE151" s="8"/>
      <c r="AF151" s="8"/>
      <c r="AG151" s="8"/>
      <c r="AI151" s="8"/>
      <c r="AJ151" s="8"/>
      <c r="AK151" s="8"/>
      <c r="AL151" s="8"/>
      <c r="AM151" s="8"/>
    </row>
    <row r="152" spans="4:39" ht="14">
      <c r="D152" s="718"/>
      <c r="E152" s="718"/>
      <c r="F152" s="718"/>
      <c r="G152" s="718"/>
      <c r="H152" s="718"/>
      <c r="I152" s="718"/>
      <c r="J152" s="718"/>
      <c r="L152" s="718"/>
      <c r="M152" s="693"/>
      <c r="N152" s="693"/>
      <c r="O152" s="693"/>
      <c r="P152" s="693"/>
      <c r="Q152" s="693"/>
      <c r="R152" s="693"/>
      <c r="S152" s="693"/>
      <c r="T152" s="693"/>
      <c r="U152" s="693"/>
      <c r="V152" s="693"/>
      <c r="X152" s="693"/>
      <c r="Y152" s="693"/>
      <c r="Z152" s="693"/>
      <c r="AA152" s="693"/>
      <c r="AB152" s="693"/>
      <c r="AC152" s="48"/>
      <c r="AD152" s="694"/>
      <c r="AE152" s="694"/>
      <c r="AF152" s="694"/>
      <c r="AG152" s="694"/>
      <c r="AI152" s="694"/>
      <c r="AJ152" s="694"/>
      <c r="AK152" s="694"/>
      <c r="AL152" s="694"/>
      <c r="AM152" s="694"/>
    </row>
    <row r="153" spans="4:39" ht="14">
      <c r="D153" s="757" t="s">
        <v>13</v>
      </c>
      <c r="E153" s="757" t="s">
        <v>14</v>
      </c>
      <c r="F153" s="758"/>
      <c r="G153" s="759"/>
      <c r="H153" s="784"/>
      <c r="I153" s="718"/>
      <c r="J153" s="718"/>
      <c r="L153" s="718"/>
      <c r="M153" s="693"/>
      <c r="N153" s="699" t="s">
        <v>13</v>
      </c>
      <c r="O153" s="699" t="s">
        <v>14</v>
      </c>
      <c r="P153" s="719"/>
      <c r="Q153" s="700"/>
      <c r="R153" s="48"/>
      <c r="S153" s="693"/>
      <c r="T153" s="693"/>
      <c r="U153" s="693"/>
      <c r="V153" s="693"/>
      <c r="X153" s="699" t="s">
        <v>13</v>
      </c>
      <c r="Y153" s="699" t="s">
        <v>25</v>
      </c>
      <c r="Z153" s="719"/>
      <c r="AA153" s="719"/>
      <c r="AB153" s="719"/>
      <c r="AC153" s="719"/>
      <c r="AD153" s="719"/>
      <c r="AE153" s="700"/>
      <c r="AF153" s="694"/>
      <c r="AG153" s="694"/>
      <c r="AI153" s="694"/>
      <c r="AJ153" s="694"/>
      <c r="AK153" s="694"/>
      <c r="AL153" s="694"/>
      <c r="AM153" s="694"/>
    </row>
    <row r="154" spans="4:39" ht="14">
      <c r="D154" s="757" t="s">
        <v>25</v>
      </c>
      <c r="E154" s="757" t="s">
        <v>27</v>
      </c>
      <c r="F154" s="760" t="s">
        <v>47</v>
      </c>
      <c r="G154" s="761" t="s">
        <v>235</v>
      </c>
      <c r="H154" s="784"/>
      <c r="I154" s="718"/>
      <c r="J154" s="718"/>
      <c r="L154" s="718"/>
      <c r="M154" s="693"/>
      <c r="N154" s="699" t="s">
        <v>25</v>
      </c>
      <c r="O154" s="701" t="s">
        <v>27</v>
      </c>
      <c r="P154" s="720" t="s">
        <v>47</v>
      </c>
      <c r="Q154" s="721" t="s">
        <v>235</v>
      </c>
      <c r="R154" s="48"/>
      <c r="S154" s="693"/>
      <c r="T154" s="693"/>
      <c r="U154" s="693"/>
      <c r="V154" s="693"/>
      <c r="X154" s="699" t="s">
        <v>14</v>
      </c>
      <c r="Y154" s="701" t="s">
        <v>32</v>
      </c>
      <c r="Z154" s="720" t="s">
        <v>31</v>
      </c>
      <c r="AA154" s="720" t="s">
        <v>30</v>
      </c>
      <c r="AB154" s="720" t="s">
        <v>34</v>
      </c>
      <c r="AC154" s="720" t="s">
        <v>33</v>
      </c>
      <c r="AD154" s="720" t="s">
        <v>39</v>
      </c>
      <c r="AE154" s="721" t="s">
        <v>235</v>
      </c>
      <c r="AF154" s="694"/>
      <c r="AG154" s="694"/>
      <c r="AI154" s="694"/>
      <c r="AJ154" s="694"/>
      <c r="AK154" s="694"/>
      <c r="AL154" s="694"/>
      <c r="AM154" s="694"/>
    </row>
    <row r="155" spans="4:39" ht="14">
      <c r="D155" s="757" t="s">
        <v>32</v>
      </c>
      <c r="E155" s="762">
        <v>25</v>
      </c>
      <c r="F155" s="763">
        <v>14</v>
      </c>
      <c r="G155" s="764">
        <v>39</v>
      </c>
      <c r="H155" s="784"/>
      <c r="I155" s="718"/>
      <c r="J155" s="718"/>
      <c r="L155" s="718"/>
      <c r="M155" s="693"/>
      <c r="N155" s="701" t="s">
        <v>32</v>
      </c>
      <c r="O155" s="704">
        <v>0.64102564102564108</v>
      </c>
      <c r="P155" s="749">
        <v>0.35897435897435898</v>
      </c>
      <c r="Q155" s="734">
        <v>1</v>
      </c>
      <c r="R155" s="48"/>
      <c r="S155" s="693"/>
      <c r="T155" s="693"/>
      <c r="U155" s="693"/>
      <c r="V155" s="693"/>
      <c r="X155" s="701" t="s">
        <v>47</v>
      </c>
      <c r="Y155" s="706">
        <v>0.11666666666666667</v>
      </c>
      <c r="Z155" s="725">
        <v>0.21666666666666667</v>
      </c>
      <c r="AA155" s="725">
        <v>0.23333333333333334</v>
      </c>
      <c r="AB155" s="725">
        <v>0.15</v>
      </c>
      <c r="AC155" s="725">
        <v>0.23333333333333334</v>
      </c>
      <c r="AD155" s="725">
        <v>0.05</v>
      </c>
      <c r="AE155" s="734">
        <v>1</v>
      </c>
      <c r="AF155" s="694"/>
      <c r="AG155" s="694"/>
      <c r="AI155" s="694"/>
      <c r="AJ155" s="694"/>
      <c r="AK155" s="694"/>
      <c r="AL155" s="694"/>
      <c r="AM155" s="694"/>
    </row>
    <row r="156" spans="4:39" ht="14">
      <c r="D156" s="765" t="s">
        <v>31</v>
      </c>
      <c r="E156" s="766">
        <v>49</v>
      </c>
      <c r="F156" s="767">
        <v>26</v>
      </c>
      <c r="G156" s="768">
        <v>75</v>
      </c>
      <c r="H156" s="784"/>
      <c r="I156" s="718"/>
      <c r="J156" s="718"/>
      <c r="L156" s="718"/>
      <c r="M156" s="693"/>
      <c r="N156" s="708" t="s">
        <v>31</v>
      </c>
      <c r="O156" s="709">
        <v>0.65333333333333332</v>
      </c>
      <c r="P156" s="752">
        <v>0.34666666666666668</v>
      </c>
      <c r="Q156" s="735">
        <v>1</v>
      </c>
      <c r="R156" s="48"/>
      <c r="S156" s="693"/>
      <c r="T156" s="693"/>
      <c r="U156" s="693"/>
      <c r="V156" s="693"/>
      <c r="X156" s="708" t="s">
        <v>27</v>
      </c>
      <c r="Y156" s="711">
        <v>0.125</v>
      </c>
      <c r="Z156" s="729">
        <v>0.245</v>
      </c>
      <c r="AA156" s="729">
        <v>0.28000000000000003</v>
      </c>
      <c r="AB156" s="729">
        <v>0.14499999999999999</v>
      </c>
      <c r="AC156" s="729">
        <v>0.185</v>
      </c>
      <c r="AD156" s="729">
        <v>0.02</v>
      </c>
      <c r="AE156" s="735">
        <v>1</v>
      </c>
      <c r="AF156" s="694"/>
      <c r="AG156" s="694"/>
      <c r="AI156" s="694"/>
      <c r="AJ156" s="694"/>
      <c r="AK156" s="694"/>
      <c r="AL156" s="694"/>
      <c r="AM156" s="694"/>
    </row>
    <row r="157" spans="4:39" ht="14">
      <c r="D157" s="765" t="s">
        <v>30</v>
      </c>
      <c r="E157" s="766">
        <v>56</v>
      </c>
      <c r="F157" s="767">
        <v>28</v>
      </c>
      <c r="G157" s="768">
        <v>84</v>
      </c>
      <c r="H157" s="784"/>
      <c r="I157" s="718"/>
      <c r="J157" s="718"/>
      <c r="L157" s="718"/>
      <c r="M157" s="693"/>
      <c r="N157" s="708" t="s">
        <v>30</v>
      </c>
      <c r="O157" s="709">
        <v>0.66666666666666663</v>
      </c>
      <c r="P157" s="752">
        <v>0.33333333333333331</v>
      </c>
      <c r="Q157" s="735">
        <v>1</v>
      </c>
      <c r="R157" s="48"/>
      <c r="S157" s="693"/>
      <c r="T157" s="693"/>
      <c r="U157" s="693"/>
      <c r="V157" s="693"/>
      <c r="X157" s="713" t="s">
        <v>235</v>
      </c>
      <c r="Y157" s="716">
        <v>0.121875</v>
      </c>
      <c r="Z157" s="730">
        <v>0.234375</v>
      </c>
      <c r="AA157" s="730">
        <v>0.26250000000000001</v>
      </c>
      <c r="AB157" s="730">
        <v>0.14687500000000001</v>
      </c>
      <c r="AC157" s="730">
        <v>0.203125</v>
      </c>
      <c r="AD157" s="730">
        <v>3.125E-2</v>
      </c>
      <c r="AE157" s="736">
        <v>1</v>
      </c>
      <c r="AF157" s="694"/>
      <c r="AG157" s="694"/>
      <c r="AI157" s="694"/>
      <c r="AJ157" s="694"/>
      <c r="AK157" s="694"/>
      <c r="AL157" s="694"/>
      <c r="AM157" s="694"/>
    </row>
    <row r="158" spans="4:39" ht="14">
      <c r="D158" s="765" t="s">
        <v>34</v>
      </c>
      <c r="E158" s="766">
        <v>29</v>
      </c>
      <c r="F158" s="767">
        <v>18</v>
      </c>
      <c r="G158" s="768">
        <v>47</v>
      </c>
      <c r="H158" s="784"/>
      <c r="I158" s="718"/>
      <c r="J158" s="718"/>
      <c r="L158" s="718"/>
      <c r="M158" s="693"/>
      <c r="N158" s="708" t="s">
        <v>34</v>
      </c>
      <c r="O158" s="709">
        <v>0.61702127659574468</v>
      </c>
      <c r="P158" s="752">
        <v>0.38297872340425532</v>
      </c>
      <c r="Q158" s="735">
        <v>1</v>
      </c>
      <c r="R158" s="48"/>
      <c r="S158" s="693"/>
      <c r="T158" s="693"/>
      <c r="U158" s="693"/>
      <c r="V158" s="693"/>
      <c r="X158" s="48"/>
      <c r="Y158" s="48"/>
      <c r="Z158" s="48"/>
      <c r="AA158" s="48"/>
      <c r="AB158" s="48"/>
      <c r="AC158" s="48"/>
      <c r="AD158" s="694"/>
      <c r="AE158" s="694"/>
      <c r="AF158" s="694"/>
      <c r="AG158" s="694"/>
      <c r="AI158" s="694"/>
      <c r="AJ158" s="694"/>
      <c r="AK158" s="694"/>
      <c r="AL158" s="694"/>
      <c r="AM158" s="694"/>
    </row>
    <row r="159" spans="4:39" ht="14">
      <c r="D159" s="765" t="s">
        <v>33</v>
      </c>
      <c r="E159" s="766">
        <v>37</v>
      </c>
      <c r="F159" s="767">
        <v>28</v>
      </c>
      <c r="G159" s="768">
        <v>65</v>
      </c>
      <c r="H159" s="784"/>
      <c r="I159" s="718"/>
      <c r="J159" s="718"/>
      <c r="L159" s="718"/>
      <c r="M159" s="693"/>
      <c r="N159" s="708" t="s">
        <v>33</v>
      </c>
      <c r="O159" s="709">
        <v>0.56923076923076921</v>
      </c>
      <c r="P159" s="752">
        <v>0.43076923076923079</v>
      </c>
      <c r="Q159" s="735">
        <v>1</v>
      </c>
      <c r="R159" s="48"/>
      <c r="S159" s="693"/>
      <c r="T159" s="693"/>
      <c r="U159" s="693"/>
      <c r="V159" s="693"/>
      <c r="X159" s="693"/>
      <c r="Y159" s="48"/>
      <c r="Z159" s="48"/>
      <c r="AA159" s="48"/>
      <c r="AB159" s="48"/>
      <c r="AC159" s="48"/>
      <c r="AD159" s="48"/>
      <c r="AE159" s="694"/>
      <c r="AF159" s="694"/>
      <c r="AG159" s="694"/>
      <c r="AH159" s="694"/>
      <c r="AI159" s="694"/>
      <c r="AJ159" s="694"/>
      <c r="AK159" s="694"/>
      <c r="AL159" s="694"/>
      <c r="AM159" s="694"/>
    </row>
    <row r="160" spans="4:39" ht="14">
      <c r="D160" s="765" t="s">
        <v>39</v>
      </c>
      <c r="E160" s="766">
        <v>4</v>
      </c>
      <c r="F160" s="767">
        <v>6</v>
      </c>
      <c r="G160" s="768">
        <v>10</v>
      </c>
      <c r="H160" s="784"/>
      <c r="I160" s="718"/>
      <c r="J160" s="718"/>
      <c r="L160" s="718"/>
      <c r="M160" s="693"/>
      <c r="N160" s="708" t="s">
        <v>39</v>
      </c>
      <c r="O160" s="709">
        <v>0.4</v>
      </c>
      <c r="P160" s="752">
        <v>0.6</v>
      </c>
      <c r="Q160" s="735">
        <v>1</v>
      </c>
      <c r="R160" s="48"/>
      <c r="S160" s="693"/>
      <c r="T160" s="693"/>
      <c r="U160" s="693"/>
      <c r="V160" s="693"/>
      <c r="X160" s="693"/>
      <c r="Y160" s="48"/>
      <c r="Z160" s="48"/>
      <c r="AA160" s="48"/>
      <c r="AB160" s="48"/>
      <c r="AC160" s="48"/>
      <c r="AD160" s="48"/>
      <c r="AE160" s="694"/>
      <c r="AF160" s="694"/>
      <c r="AG160" s="694"/>
      <c r="AH160" s="694"/>
      <c r="AI160" s="694"/>
      <c r="AJ160" s="694"/>
      <c r="AK160" s="694"/>
      <c r="AL160" s="694"/>
      <c r="AM160" s="694"/>
    </row>
    <row r="161" spans="4:39">
      <c r="D161" s="604" t="s">
        <v>235</v>
      </c>
      <c r="E161" s="605">
        <v>200</v>
      </c>
      <c r="F161" s="957">
        <v>120</v>
      </c>
      <c r="G161" s="606">
        <v>320</v>
      </c>
      <c r="H161" s="51"/>
      <c r="I161" s="25"/>
      <c r="J161" s="25"/>
      <c r="L161" s="25"/>
      <c r="N161" s="576" t="s">
        <v>235</v>
      </c>
      <c r="O161" s="581">
        <v>0.625</v>
      </c>
      <c r="P161" s="962">
        <v>0.375</v>
      </c>
      <c r="Q161" s="586">
        <v>1</v>
      </c>
      <c r="R161"/>
      <c r="Y161"/>
      <c r="Z161"/>
      <c r="AA161"/>
      <c r="AC161"/>
      <c r="AD161"/>
      <c r="AE161" s="8"/>
      <c r="AF161" s="8"/>
      <c r="AG161" s="8"/>
      <c r="AH161" s="8"/>
      <c r="AI161" s="8"/>
      <c r="AJ161" s="8"/>
      <c r="AK161" s="8"/>
      <c r="AL161" s="8"/>
      <c r="AM161" s="8"/>
    </row>
    <row r="162" spans="4:39">
      <c r="E162" s="51"/>
      <c r="F162" s="51"/>
      <c r="G162" s="51"/>
      <c r="H162" s="51"/>
      <c r="I162" s="51"/>
      <c r="J162" s="25"/>
      <c r="K162" s="25"/>
      <c r="L162" s="25"/>
      <c r="O162"/>
      <c r="P162"/>
      <c r="Q162"/>
      <c r="R162"/>
      <c r="S162"/>
      <c r="Y162"/>
      <c r="Z162"/>
      <c r="AA162"/>
      <c r="AC162"/>
      <c r="AD162" s="8"/>
      <c r="AE162" s="8"/>
      <c r="AF162" s="8"/>
      <c r="AG162" s="8"/>
      <c r="AH162" s="8"/>
      <c r="AI162" s="8"/>
      <c r="AJ162" s="8"/>
      <c r="AK162" s="8"/>
      <c r="AL162" s="8"/>
      <c r="AM162" s="8"/>
    </row>
    <row r="163" spans="4:39">
      <c r="E163" s="51"/>
      <c r="F163" s="51"/>
      <c r="G163" s="51"/>
      <c r="H163" s="51"/>
      <c r="I163" s="51"/>
      <c r="J163" s="25"/>
      <c r="K163" s="25"/>
      <c r="L163" s="25"/>
      <c r="O163"/>
      <c r="P163"/>
      <c r="Q163"/>
      <c r="R163"/>
      <c r="S163"/>
      <c r="Y163"/>
      <c r="Z163"/>
      <c r="AA163"/>
      <c r="AC163"/>
      <c r="AD163" s="8"/>
      <c r="AE163" s="8"/>
      <c r="AF163" s="8"/>
      <c r="AG163" s="8"/>
      <c r="AH163" s="8"/>
      <c r="AI163" s="8"/>
      <c r="AJ163" s="8"/>
      <c r="AK163" s="8"/>
      <c r="AL163" s="8"/>
      <c r="AM163" s="8"/>
    </row>
    <row r="164" spans="4:39">
      <c r="E164" s="51"/>
      <c r="F164" s="51"/>
      <c r="G164" s="51"/>
      <c r="H164" s="51"/>
      <c r="I164" s="51"/>
      <c r="J164" s="25"/>
      <c r="K164" s="25"/>
      <c r="L164" s="25"/>
      <c r="O164"/>
      <c r="P164"/>
      <c r="Q164"/>
      <c r="R164"/>
      <c r="S164"/>
      <c r="Y164"/>
      <c r="Z164"/>
      <c r="AA164"/>
      <c r="AC164"/>
      <c r="AD164" s="8"/>
      <c r="AE164" s="8"/>
      <c r="AF164" s="8"/>
      <c r="AG164" s="8"/>
      <c r="AH164" s="8"/>
      <c r="AI164" s="8"/>
      <c r="AJ164" s="8"/>
      <c r="AK164" s="8"/>
      <c r="AL164" s="8"/>
      <c r="AM164" s="8"/>
    </row>
    <row r="165" spans="4:39">
      <c r="E165" s="20"/>
      <c r="F165" s="21"/>
      <c r="G165" s="21"/>
      <c r="O165" s="17"/>
      <c r="P165" s="18"/>
      <c r="Q165" s="18"/>
      <c r="R165" s="19"/>
      <c r="Y165"/>
      <c r="Z165"/>
      <c r="AA165"/>
      <c r="AB165" s="14"/>
      <c r="AD165" s="8"/>
      <c r="AE165" s="8"/>
      <c r="AF165" s="8"/>
      <c r="AG165" s="8"/>
      <c r="AH165" s="8"/>
      <c r="AI165" s="8"/>
      <c r="AJ165" s="8"/>
      <c r="AK165" s="8"/>
      <c r="AL165" s="8"/>
      <c r="AM165" s="8"/>
    </row>
    <row r="166" spans="4:39">
      <c r="E166" s="20"/>
      <c r="F166" s="21"/>
      <c r="G166" s="21"/>
      <c r="O166" s="17"/>
      <c r="P166" s="18"/>
      <c r="Q166" s="18"/>
      <c r="R166" s="19"/>
      <c r="Y166"/>
      <c r="Z166"/>
      <c r="AA166"/>
      <c r="AB166" s="14"/>
      <c r="AD166" s="8"/>
      <c r="AE166" s="8"/>
      <c r="AF166" s="8"/>
      <c r="AG166" s="8"/>
      <c r="AH166" s="8"/>
      <c r="AI166" s="8"/>
      <c r="AJ166" s="8"/>
      <c r="AK166" s="8"/>
      <c r="AL166" s="8"/>
      <c r="AM166" s="8"/>
    </row>
    <row r="167" spans="4:39">
      <c r="E167" s="20"/>
      <c r="F167" s="21"/>
      <c r="G167" s="21"/>
      <c r="Y167"/>
      <c r="Z167"/>
      <c r="AA167"/>
      <c r="AB167" s="14"/>
      <c r="AD167" s="8"/>
      <c r="AE167" s="8"/>
      <c r="AF167" s="8"/>
      <c r="AG167" s="8"/>
      <c r="AH167" s="8"/>
      <c r="AI167" s="8"/>
      <c r="AJ167" s="8"/>
      <c r="AK167" s="8"/>
      <c r="AL167" s="8"/>
      <c r="AM167" s="8"/>
    </row>
    <row r="168" spans="4:39">
      <c r="E168" s="20"/>
      <c r="F168" s="21"/>
      <c r="G168" s="21"/>
      <c r="Y168"/>
      <c r="Z168"/>
      <c r="AA168"/>
      <c r="AB168" s="14"/>
      <c r="AD168" s="8"/>
      <c r="AE168" s="8"/>
      <c r="AF168" s="8"/>
      <c r="AG168" s="8"/>
      <c r="AH168" s="8"/>
      <c r="AI168" s="8"/>
      <c r="AJ168" s="8"/>
      <c r="AK168" s="8"/>
      <c r="AL168" s="8"/>
      <c r="AM168" s="8"/>
    </row>
    <row r="169" spans="4:39">
      <c r="E169" s="20"/>
      <c r="F169" s="21"/>
      <c r="G169" s="21"/>
      <c r="Y169"/>
      <c r="Z169"/>
      <c r="AA169"/>
      <c r="AB169" s="14"/>
      <c r="AD169" s="8"/>
      <c r="AE169" s="8"/>
      <c r="AF169" s="8"/>
      <c r="AG169" s="8"/>
      <c r="AH169" s="8"/>
      <c r="AI169" s="8"/>
      <c r="AJ169" s="8"/>
      <c r="AK169" s="8"/>
      <c r="AL169" s="8"/>
      <c r="AM169" s="8"/>
    </row>
    <row r="170" spans="4:39">
      <c r="E170" s="20"/>
      <c r="F170" s="21"/>
      <c r="G170" s="21"/>
      <c r="Y170"/>
      <c r="Z170"/>
      <c r="AA170"/>
      <c r="AB170" s="14"/>
      <c r="AD170" s="8"/>
      <c r="AE170" s="8"/>
      <c r="AF170" s="8"/>
      <c r="AG170" s="8"/>
      <c r="AH170" s="8"/>
      <c r="AI170" s="8"/>
      <c r="AJ170" s="8"/>
      <c r="AK170" s="8"/>
      <c r="AL170" s="8"/>
      <c r="AM170" s="8"/>
    </row>
    <row r="171" spans="4:39">
      <c r="E171" s="20"/>
      <c r="F171" s="21"/>
      <c r="G171" s="21"/>
      <c r="Y171"/>
      <c r="Z171"/>
      <c r="AA171"/>
      <c r="AB171" s="14"/>
      <c r="AD171" s="8"/>
      <c r="AE171" s="8"/>
      <c r="AF171" s="8"/>
      <c r="AG171" s="8"/>
      <c r="AH171" s="8"/>
      <c r="AI171" s="8"/>
      <c r="AJ171" s="8"/>
      <c r="AK171" s="8"/>
      <c r="AL171" s="8"/>
      <c r="AM171" s="8"/>
    </row>
    <row r="172" spans="4:39">
      <c r="E172" s="20"/>
      <c r="F172" s="21"/>
      <c r="G172" s="21"/>
      <c r="AB172" s="14"/>
      <c r="AD172" s="8"/>
      <c r="AE172" s="8"/>
      <c r="AF172" s="8"/>
      <c r="AG172" s="8"/>
      <c r="AH172" s="8"/>
      <c r="AI172" s="8"/>
      <c r="AJ172" s="8"/>
      <c r="AK172" s="8"/>
      <c r="AL172" s="8"/>
      <c r="AM172" s="8"/>
    </row>
    <row r="173" spans="4:39">
      <c r="E173" s="20"/>
      <c r="F173" s="21"/>
      <c r="G173" s="21"/>
      <c r="AB173" s="14"/>
      <c r="AD173" s="8"/>
      <c r="AE173" s="8"/>
      <c r="AF173" s="8"/>
      <c r="AG173" s="8"/>
      <c r="AH173" s="8"/>
      <c r="AI173" s="8"/>
      <c r="AJ173" s="8"/>
      <c r="AK173" s="8"/>
      <c r="AL173" s="8"/>
      <c r="AM173" s="8"/>
    </row>
    <row r="174" spans="4:39">
      <c r="E174" s="20"/>
      <c r="F174" s="21"/>
      <c r="G174" s="21"/>
      <c r="AB174" s="14"/>
      <c r="AD174" s="8"/>
      <c r="AE174" s="8"/>
      <c r="AF174" s="8"/>
      <c r="AG174" s="8"/>
      <c r="AH174" s="8"/>
      <c r="AI174" s="8"/>
      <c r="AJ174" s="8"/>
      <c r="AK174" s="8"/>
      <c r="AL174" s="8"/>
      <c r="AM174" s="8"/>
    </row>
    <row r="175" spans="4:39">
      <c r="E175" s="20"/>
      <c r="F175" s="21"/>
      <c r="G175" s="21"/>
      <c r="AB175" s="14"/>
      <c r="AD175" s="8"/>
      <c r="AE175" s="8"/>
      <c r="AF175" s="8"/>
      <c r="AG175" s="8"/>
      <c r="AH175" s="8"/>
      <c r="AI175" s="8"/>
      <c r="AJ175" s="8"/>
      <c r="AK175" s="8"/>
      <c r="AL175" s="8"/>
      <c r="AM175" s="8"/>
    </row>
    <row r="176" spans="4:39">
      <c r="E176" s="20"/>
      <c r="F176" s="21"/>
      <c r="G176" s="21"/>
      <c r="AB176" s="14"/>
      <c r="AD176" s="8"/>
      <c r="AE176" s="8"/>
      <c r="AF176" s="8"/>
      <c r="AG176" s="8"/>
      <c r="AH176" s="8"/>
      <c r="AI176" s="8"/>
      <c r="AJ176" s="8"/>
      <c r="AK176" s="8"/>
      <c r="AL176" s="8"/>
      <c r="AM176" s="8"/>
    </row>
    <row r="177" spans="2:69">
      <c r="E177" s="22"/>
      <c r="F177" s="16"/>
      <c r="AB177" s="14"/>
      <c r="AD177" s="8"/>
      <c r="AE177" s="8"/>
      <c r="AF177" s="8"/>
      <c r="AG177" s="8"/>
      <c r="AH177" s="8"/>
      <c r="AI177" s="8"/>
      <c r="AJ177" s="8"/>
      <c r="AK177" s="8"/>
      <c r="AL177" s="8"/>
      <c r="AM177" s="8"/>
    </row>
    <row r="178" spans="2:69">
      <c r="F178" s="16"/>
      <c r="AB178" s="14"/>
      <c r="AD178" s="8"/>
      <c r="AE178" s="8"/>
      <c r="AF178" s="8"/>
      <c r="AG178" s="8"/>
      <c r="AH178" s="8"/>
      <c r="AI178" s="8"/>
      <c r="AJ178" s="8"/>
      <c r="AK178" s="8"/>
      <c r="AL178" s="8"/>
      <c r="AM178" s="8"/>
    </row>
    <row r="179" spans="2:69">
      <c r="F179" s="16"/>
      <c r="AB179" s="14"/>
      <c r="AD179" s="8"/>
      <c r="AE179" s="8"/>
      <c r="AF179" s="8"/>
      <c r="AG179" s="8"/>
      <c r="AH179" s="8"/>
      <c r="AI179" s="8"/>
      <c r="AJ179" s="8"/>
      <c r="AK179" s="8"/>
      <c r="AL179" s="8"/>
      <c r="AM179" s="8"/>
    </row>
    <row r="180" spans="2:69">
      <c r="D180" s="23"/>
      <c r="F180" s="16"/>
      <c r="AB180" s="14"/>
      <c r="AD180" s="8"/>
      <c r="AE180" s="8"/>
      <c r="AF180" s="8"/>
      <c r="AG180" s="8"/>
      <c r="AH180" s="8"/>
      <c r="AI180" s="8"/>
      <c r="AJ180" s="8"/>
      <c r="AK180" s="8"/>
      <c r="AL180" s="8"/>
      <c r="AM180" s="8"/>
    </row>
    <row r="181" spans="2:69">
      <c r="AB181" s="14"/>
      <c r="AD181" s="8"/>
      <c r="AE181" s="8"/>
      <c r="AF181" s="8"/>
      <c r="AG181" s="8"/>
      <c r="AH181" s="8"/>
      <c r="AI181" s="8"/>
      <c r="AJ181" s="8"/>
      <c r="AK181" s="8"/>
      <c r="AL181" s="8"/>
      <c r="AM181" s="8"/>
    </row>
    <row r="182" spans="2:69" ht="36" customHeight="1">
      <c r="D182" s="1428" t="s">
        <v>472</v>
      </c>
      <c r="E182" s="1429"/>
      <c r="F182" s="1435"/>
      <c r="G182" s="1436" t="s">
        <v>477</v>
      </c>
      <c r="H182" s="1431"/>
      <c r="I182" s="1431"/>
      <c r="J182" s="1431"/>
      <c r="K182" s="1431"/>
      <c r="L182" s="1431"/>
      <c r="M182" s="1431"/>
      <c r="N182" s="1431"/>
      <c r="O182" s="1431"/>
      <c r="P182" s="1431"/>
      <c r="Q182" s="1431"/>
      <c r="R182" s="1431"/>
      <c r="S182" s="1431"/>
      <c r="T182" s="1431"/>
      <c r="U182" s="1431"/>
      <c r="V182" s="1431"/>
      <c r="W182" s="1431"/>
      <c r="X182" s="1431"/>
      <c r="Y182" s="1431"/>
      <c r="Z182" s="1431"/>
      <c r="AA182" s="1431"/>
      <c r="AB182" s="1431"/>
      <c r="AD182" s="8"/>
      <c r="AE182" s="8"/>
      <c r="AF182" s="8"/>
      <c r="AG182" s="8"/>
      <c r="AH182" s="8"/>
      <c r="AI182" s="8"/>
      <c r="AJ182" s="8"/>
      <c r="AK182" s="8"/>
      <c r="AL182" s="8"/>
      <c r="AM182" s="8"/>
    </row>
    <row r="183" spans="2:69" ht="36" customHeight="1">
      <c r="D183" s="1428" t="s">
        <v>473</v>
      </c>
      <c r="E183" s="1429"/>
      <c r="F183" s="1435"/>
      <c r="G183" s="1436" t="s">
        <v>478</v>
      </c>
      <c r="H183" s="1431"/>
      <c r="I183" s="1431"/>
      <c r="J183" s="1431"/>
      <c r="K183" s="1431"/>
      <c r="L183" s="1431"/>
      <c r="M183" s="1431"/>
      <c r="N183" s="1431"/>
      <c r="O183" s="1431"/>
      <c r="P183" s="1431"/>
      <c r="Q183" s="1431"/>
      <c r="R183" s="1431"/>
      <c r="S183" s="1431"/>
      <c r="T183" s="1431"/>
      <c r="U183" s="1431"/>
      <c r="V183" s="1431"/>
      <c r="W183" s="1431"/>
      <c r="X183" s="1431"/>
      <c r="Y183" s="1431"/>
      <c r="Z183" s="1431"/>
      <c r="AA183" s="1431"/>
      <c r="AB183" s="1431"/>
      <c r="AD183" s="8"/>
      <c r="AE183" s="8"/>
      <c r="AF183" s="8"/>
      <c r="AG183" s="8"/>
      <c r="AH183" s="8"/>
      <c r="AI183" s="8"/>
      <c r="AJ183" s="8"/>
      <c r="AK183" s="8"/>
      <c r="AL183" s="8"/>
      <c r="AM183" s="8"/>
    </row>
    <row r="185" spans="2:69">
      <c r="B185" s="119"/>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row>
    <row r="187" spans="2:69" ht="20">
      <c r="D187" s="430" t="s">
        <v>91</v>
      </c>
      <c r="K187" s="8"/>
      <c r="AB187" s="14"/>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2:69">
      <c r="D188" s="6"/>
      <c r="K188" s="8"/>
      <c r="W188"/>
      <c r="AB188" s="14"/>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2:69">
      <c r="D189" s="1433" t="s">
        <v>217</v>
      </c>
      <c r="E189" s="1434"/>
      <c r="F189" s="1434"/>
      <c r="K189" s="8"/>
      <c r="W189"/>
      <c r="AB189" s="14"/>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2:69">
      <c r="D190" s="6" t="s">
        <v>192</v>
      </c>
      <c r="W190"/>
      <c r="AB190" s="14"/>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2:69">
      <c r="D191" s="6"/>
      <c r="W191"/>
      <c r="AB191" s="14"/>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2:69">
      <c r="D192" s="1437"/>
      <c r="E192" s="1438"/>
      <c r="F192" s="1438"/>
      <c r="G192" s="1438"/>
      <c r="H192" s="1438"/>
      <c r="I192" s="1438"/>
      <c r="J192" s="1438"/>
      <c r="K192" s="1438"/>
      <c r="L192" s="1438"/>
      <c r="M192" s="1438"/>
      <c r="N192" s="1438"/>
      <c r="O192" s="1438"/>
      <c r="P192" s="1438"/>
      <c r="W192"/>
      <c r="AB192" s="14"/>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4:69">
      <c r="D193" s="77"/>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4:69" ht="15">
      <c r="D194" s="77"/>
      <c r="X194" s="8"/>
      <c r="Y194" s="8"/>
      <c r="Z194" s="332" t="s">
        <v>432</v>
      </c>
      <c r="AA194" s="332"/>
      <c r="AB194" s="332"/>
      <c r="AC194" s="332"/>
      <c r="AD194" s="332"/>
      <c r="AE194" s="332"/>
      <c r="AF194" s="332"/>
      <c r="AG194" s="332"/>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4:69" ht="15">
      <c r="D195" s="1444" t="s">
        <v>992</v>
      </c>
      <c r="E195" s="1444"/>
      <c r="F195" s="1444"/>
      <c r="G195" s="1444"/>
      <c r="H195" s="1444"/>
      <c r="I195" s="1444"/>
      <c r="J195" s="1444"/>
      <c r="K195" s="1444"/>
      <c r="L195" s="1444"/>
      <c r="M195" s="1444"/>
      <c r="N195" s="1444"/>
      <c r="O195" s="1444"/>
      <c r="X195" s="8"/>
      <c r="Y195" s="8"/>
      <c r="Z195" s="332" t="s">
        <v>427</v>
      </c>
      <c r="AA195" s="332"/>
      <c r="AB195" s="332"/>
      <c r="AC195" s="332"/>
      <c r="AD195" s="332"/>
      <c r="AE195" s="332"/>
      <c r="AF195" s="332"/>
      <c r="AG195" s="332"/>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4:69" ht="15">
      <c r="D196" s="1445"/>
      <c r="E196" s="1445"/>
      <c r="F196" s="1445"/>
      <c r="G196" s="1445"/>
      <c r="H196" s="1445"/>
      <c r="I196" s="1445"/>
      <c r="J196" s="1445"/>
      <c r="K196" s="1445"/>
      <c r="L196" s="1445"/>
      <c r="M196" s="1445"/>
      <c r="N196" s="1445"/>
      <c r="O196" s="1445"/>
      <c r="P196"/>
      <c r="Q196"/>
      <c r="R196" s="50"/>
      <c r="S196" s="50"/>
      <c r="T196" s="50"/>
      <c r="U196" s="50"/>
      <c r="V196" s="50"/>
      <c r="W196" s="50"/>
      <c r="X196" s="8"/>
      <c r="Y196" s="8"/>
      <c r="Z196" s="332" t="s">
        <v>436</v>
      </c>
      <c r="AA196" s="332"/>
      <c r="AB196" s="332"/>
      <c r="AC196" s="332"/>
      <c r="AD196" s="332"/>
      <c r="AE196" s="332"/>
      <c r="AF196" s="332"/>
      <c r="AG196" s="332"/>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4:69" ht="15">
      <c r="D197" s="6"/>
      <c r="E197" s="8"/>
      <c r="F197" s="8"/>
      <c r="G197" s="8"/>
      <c r="H197" s="8"/>
      <c r="I197" s="8"/>
      <c r="K197"/>
      <c r="L197"/>
      <c r="M197"/>
      <c r="N197"/>
      <c r="O197"/>
      <c r="P197"/>
      <c r="Q197"/>
      <c r="R197" s="51"/>
      <c r="S197" s="1169"/>
      <c r="T197" s="50"/>
      <c r="U197" s="1169"/>
      <c r="V197" s="1169"/>
      <c r="W197" s="25"/>
      <c r="Z197" s="332" t="s">
        <v>435</v>
      </c>
      <c r="AA197" s="332"/>
      <c r="AB197" s="332"/>
      <c r="AC197" s="332"/>
      <c r="AD197" s="332"/>
      <c r="AE197" s="332"/>
      <c r="AF197" s="332"/>
      <c r="AG197" s="332"/>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4:69" ht="15">
      <c r="H198" s="28"/>
      <c r="I198" s="27"/>
      <c r="K198"/>
      <c r="L198"/>
      <c r="M198"/>
      <c r="N198"/>
      <c r="O198"/>
      <c r="P198"/>
      <c r="Q198"/>
      <c r="R198" s="51"/>
      <c r="S198" s="1168"/>
      <c r="T198" s="50"/>
      <c r="U198" s="1168"/>
      <c r="V198" s="1168"/>
      <c r="W198" s="25"/>
      <c r="Y198" s="16"/>
      <c r="Z198" s="332" t="s">
        <v>434</v>
      </c>
      <c r="AA198" s="332"/>
      <c r="AB198" s="332"/>
      <c r="AC198" s="332"/>
      <c r="AD198" s="332"/>
      <c r="AE198" s="332"/>
      <c r="AF198" s="332"/>
      <c r="AG198" s="332"/>
      <c r="AH198" s="8"/>
      <c r="AI198" s="8"/>
      <c r="AJ198" s="8"/>
      <c r="AK198" s="8"/>
      <c r="AL198" s="31" t="s">
        <v>214</v>
      </c>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4:69" ht="15">
      <c r="D199" s="7"/>
      <c r="E199" s="8"/>
      <c r="F199" s="8"/>
      <c r="G199" s="8"/>
      <c r="H199" s="8"/>
      <c r="I199" s="8"/>
      <c r="J199" s="8"/>
      <c r="K199"/>
      <c r="L199"/>
      <c r="M199"/>
      <c r="N199"/>
      <c r="O199"/>
      <c r="P199"/>
      <c r="Q199"/>
      <c r="R199" s="51"/>
      <c r="S199" s="1169"/>
      <c r="T199" s="50"/>
      <c r="U199" s="1169"/>
      <c r="V199" s="1169"/>
      <c r="W199" s="50"/>
      <c r="X199" s="8"/>
      <c r="Y199" s="9"/>
      <c r="Z199" s="332" t="s">
        <v>438</v>
      </c>
      <c r="AA199" s="332"/>
      <c r="AB199" s="332"/>
      <c r="AC199" s="332"/>
      <c r="AD199" s="332" t="s">
        <v>16</v>
      </c>
      <c r="AE199" s="332"/>
      <c r="AF199" s="332"/>
      <c r="AG199" s="332"/>
      <c r="AH199" s="8"/>
      <c r="AI199" s="8"/>
      <c r="AJ199" s="8"/>
      <c r="AK199" s="8"/>
      <c r="AL199" s="1442"/>
      <c r="AM199" s="1443"/>
      <c r="AN199" s="1443"/>
      <c r="AO199" s="1443"/>
      <c r="AP199" s="1443"/>
      <c r="AQ199" s="1443"/>
      <c r="AR199" s="1443"/>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4:69" ht="15">
      <c r="D200" s="8"/>
      <c r="E200" s="24" t="s">
        <v>16</v>
      </c>
      <c r="F200" s="8"/>
      <c r="G200" s="8"/>
      <c r="H200" s="8"/>
      <c r="I200" s="8"/>
      <c r="K200"/>
      <c r="L200"/>
      <c r="M200"/>
      <c r="N200"/>
      <c r="O200"/>
      <c r="P200"/>
      <c r="Q200"/>
      <c r="R200" s="51"/>
      <c r="S200" s="1168"/>
      <c r="T200" s="50"/>
      <c r="U200" s="1168"/>
      <c r="V200" s="1168"/>
      <c r="W200" s="25"/>
      <c r="X200" s="15" t="s">
        <v>16</v>
      </c>
      <c r="Z200" s="332" t="s">
        <v>437</v>
      </c>
      <c r="AA200" s="332"/>
      <c r="AB200" s="332"/>
      <c r="AC200" s="332"/>
      <c r="AD200" s="332"/>
      <c r="AE200" s="332"/>
      <c r="AF200" s="332"/>
      <c r="AG200" s="332"/>
      <c r="AH200"/>
      <c r="AI200"/>
      <c r="AJ200"/>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4:69" ht="15">
      <c r="D201" s="8"/>
      <c r="E201" s="24"/>
      <c r="F201" s="8"/>
      <c r="G201" s="8"/>
      <c r="H201" s="8"/>
      <c r="I201" s="8"/>
      <c r="K201"/>
      <c r="L201"/>
      <c r="M201"/>
      <c r="N201"/>
      <c r="O201"/>
      <c r="P201"/>
      <c r="Q201"/>
      <c r="R201" s="51"/>
      <c r="S201" s="1168"/>
      <c r="T201" s="50"/>
      <c r="U201" s="1168"/>
      <c r="V201" s="1168"/>
      <c r="W201" s="25"/>
      <c r="X201" s="15"/>
      <c r="Z201" s="332" t="s">
        <v>439</v>
      </c>
      <c r="AA201" s="332"/>
      <c r="AB201" s="332"/>
      <c r="AC201" s="332"/>
      <c r="AD201" s="332"/>
      <c r="AE201" s="332"/>
      <c r="AF201" s="332"/>
      <c r="AG201" s="332"/>
      <c r="AH201"/>
      <c r="AI201"/>
      <c r="AJ201"/>
      <c r="AK201" s="8"/>
      <c r="AL201" s="79"/>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4:69" ht="15">
      <c r="D202" s="8"/>
      <c r="E202" s="24"/>
      <c r="F202" s="8"/>
      <c r="G202" s="8"/>
      <c r="H202" s="8"/>
      <c r="I202" s="8"/>
      <c r="K202"/>
      <c r="L202"/>
      <c r="M202"/>
      <c r="N202"/>
      <c r="O202"/>
      <c r="P202"/>
      <c r="Q202"/>
      <c r="R202" s="51"/>
      <c r="S202" s="1168"/>
      <c r="T202" s="50"/>
      <c r="U202" s="1168"/>
      <c r="V202" s="1168"/>
      <c r="W202" s="25"/>
      <c r="X202" s="15"/>
      <c r="AH202"/>
      <c r="AI202"/>
      <c r="AJ202"/>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4:69" ht="15">
      <c r="D203" s="6" t="s">
        <v>69</v>
      </c>
      <c r="E203" s="24"/>
      <c r="F203" s="8"/>
      <c r="G203" s="8"/>
      <c r="H203" s="8"/>
      <c r="I203" s="8"/>
      <c r="K203"/>
      <c r="L203"/>
      <c r="M203"/>
      <c r="N203" s="6" t="s">
        <v>136</v>
      </c>
      <c r="O203"/>
      <c r="P203"/>
      <c r="Q203"/>
      <c r="R203" s="51"/>
      <c r="S203" s="1168"/>
      <c r="T203" s="50"/>
      <c r="U203" s="1168"/>
      <c r="V203" s="1168"/>
      <c r="W203" s="25"/>
      <c r="X203" s="6" t="s">
        <v>70</v>
      </c>
      <c r="AB203" s="14"/>
      <c r="AC203" s="6" t="s">
        <v>228</v>
      </c>
      <c r="AD203"/>
      <c r="AE203"/>
      <c r="AF203"/>
      <c r="AG203"/>
      <c r="AH203"/>
      <c r="AI203"/>
      <c r="AJ203" s="8"/>
      <c r="AL203" s="80" t="s">
        <v>196</v>
      </c>
      <c r="AM203" s="65"/>
      <c r="AN203" s="65"/>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4:69">
      <c r="E204" s="25"/>
      <c r="F204" s="25"/>
      <c r="G204" s="25"/>
      <c r="H204" s="25"/>
      <c r="I204" s="25"/>
      <c r="M204" s="22"/>
      <c r="N204" s="22"/>
      <c r="O204" s="22"/>
      <c r="P204" s="22"/>
      <c r="Q204" s="22"/>
      <c r="R204"/>
      <c r="S204"/>
      <c r="T204"/>
      <c r="AJ204"/>
      <c r="AL204" s="355"/>
      <c r="AM204" s="356"/>
      <c r="AN204" s="356"/>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4:69">
      <c r="D205" s="595" t="s">
        <v>13</v>
      </c>
      <c r="E205" s="595" t="s">
        <v>14</v>
      </c>
      <c r="F205" s="596"/>
      <c r="G205" s="597"/>
      <c r="I205"/>
      <c r="M205" s="22"/>
      <c r="N205" s="876" t="s">
        <v>92</v>
      </c>
      <c r="O205" s="876" t="s">
        <v>14</v>
      </c>
      <c r="P205" s="963"/>
      <c r="Q205" s="877"/>
      <c r="R205"/>
      <c r="S205"/>
      <c r="T205"/>
      <c r="X205" s="568" t="s">
        <v>13</v>
      </c>
      <c r="Y205" s="568" t="s">
        <v>14</v>
      </c>
      <c r="Z205" s="569"/>
      <c r="AA205" s="570"/>
      <c r="AC205" s="568" t="s">
        <v>13</v>
      </c>
      <c r="AD205" s="568" t="s">
        <v>60</v>
      </c>
      <c r="AE205" s="569"/>
      <c r="AF205" s="569"/>
      <c r="AG205" s="569"/>
      <c r="AH205" s="569"/>
      <c r="AI205" s="570"/>
      <c r="AJ205"/>
      <c r="AL205" s="83" t="s">
        <v>464</v>
      </c>
      <c r="AM205" s="84"/>
      <c r="AN205" s="86"/>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4:69">
      <c r="D206" s="595" t="s">
        <v>60</v>
      </c>
      <c r="E206" s="595" t="s">
        <v>27</v>
      </c>
      <c r="F206" s="954" t="s">
        <v>47</v>
      </c>
      <c r="G206" s="598" t="s">
        <v>235</v>
      </c>
      <c r="I206"/>
      <c r="M206" s="22"/>
      <c r="N206" s="876" t="s">
        <v>12</v>
      </c>
      <c r="O206" s="876" t="s">
        <v>27</v>
      </c>
      <c r="P206" s="964" t="s">
        <v>47</v>
      </c>
      <c r="Q206" s="878" t="s">
        <v>235</v>
      </c>
      <c r="R206"/>
      <c r="S206"/>
      <c r="T206"/>
      <c r="X206" s="568" t="s">
        <v>60</v>
      </c>
      <c r="Y206" s="571" t="s">
        <v>27</v>
      </c>
      <c r="Z206" s="572" t="s">
        <v>47</v>
      </c>
      <c r="AA206" s="583" t="s">
        <v>235</v>
      </c>
      <c r="AC206" s="568" t="s">
        <v>14</v>
      </c>
      <c r="AD206" s="571" t="s">
        <v>626</v>
      </c>
      <c r="AE206" s="572" t="s">
        <v>624</v>
      </c>
      <c r="AF206" s="572" t="s">
        <v>627</v>
      </c>
      <c r="AG206" s="572" t="s">
        <v>623</v>
      </c>
      <c r="AH206" s="572" t="s">
        <v>625</v>
      </c>
      <c r="AI206" s="583" t="s">
        <v>235</v>
      </c>
      <c r="AJ206"/>
      <c r="AL206" s="83" t="s">
        <v>240</v>
      </c>
      <c r="AM206" s="83" t="s">
        <v>14</v>
      </c>
      <c r="AN206" s="86" t="s">
        <v>463</v>
      </c>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4:69">
      <c r="D207" s="595" t="s">
        <v>623</v>
      </c>
      <c r="E207" s="599">
        <v>13</v>
      </c>
      <c r="F207" s="955">
        <v>12</v>
      </c>
      <c r="G207" s="600">
        <v>25</v>
      </c>
      <c r="I207"/>
      <c r="M207" s="22"/>
      <c r="N207" s="876" t="s">
        <v>3</v>
      </c>
      <c r="O207" s="910">
        <v>32155.517241379312</v>
      </c>
      <c r="P207" s="975">
        <v>30762.105263157893</v>
      </c>
      <c r="Q207" s="911">
        <v>31696.416184971098</v>
      </c>
      <c r="R207"/>
      <c r="S207"/>
      <c r="T207"/>
      <c r="X207" s="571" t="s">
        <v>626</v>
      </c>
      <c r="Y207" s="579">
        <v>0.60416666666666663</v>
      </c>
      <c r="Z207" s="961">
        <v>0.39583333333333331</v>
      </c>
      <c r="AA207" s="584">
        <v>1</v>
      </c>
      <c r="AC207" s="571" t="s">
        <v>47</v>
      </c>
      <c r="AD207" s="573">
        <v>0.15833333333333333</v>
      </c>
      <c r="AE207" s="574">
        <v>6.6666666666666666E-2</v>
      </c>
      <c r="AF207" s="574">
        <v>0.59166666666666667</v>
      </c>
      <c r="AG207" s="574">
        <v>0.1</v>
      </c>
      <c r="AH207" s="574">
        <v>8.3333333333333329E-2</v>
      </c>
      <c r="AI207" s="584">
        <v>1</v>
      </c>
      <c r="AJ207"/>
      <c r="AL207" s="85" t="s">
        <v>252</v>
      </c>
      <c r="AM207" s="85" t="s">
        <v>47</v>
      </c>
      <c r="AN207" s="914">
        <v>26934.117647058825</v>
      </c>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4:69">
      <c r="D208" s="601" t="s">
        <v>624</v>
      </c>
      <c r="E208" s="602">
        <v>17</v>
      </c>
      <c r="F208" s="956">
        <v>8</v>
      </c>
      <c r="G208" s="603">
        <v>25</v>
      </c>
      <c r="I208"/>
      <c r="M208" s="22"/>
      <c r="N208" s="946" t="s">
        <v>49</v>
      </c>
      <c r="O208" s="947">
        <v>38020</v>
      </c>
      <c r="P208" s="976">
        <v>29871.111111111109</v>
      </c>
      <c r="Q208" s="948">
        <v>31733.714285714286</v>
      </c>
      <c r="R208"/>
      <c r="S208"/>
      <c r="T208"/>
      <c r="X208" s="575" t="s">
        <v>624</v>
      </c>
      <c r="Y208" s="580">
        <v>0.68</v>
      </c>
      <c r="Z208" s="965">
        <v>0.32</v>
      </c>
      <c r="AA208" s="585">
        <v>1</v>
      </c>
      <c r="AC208" s="575" t="s">
        <v>27</v>
      </c>
      <c r="AD208" s="959">
        <v>0.14499999999999999</v>
      </c>
      <c r="AE208" s="960">
        <v>8.5000000000000006E-2</v>
      </c>
      <c r="AF208" s="960">
        <v>0.63</v>
      </c>
      <c r="AG208" s="960">
        <v>6.5000000000000002E-2</v>
      </c>
      <c r="AH208" s="960">
        <v>7.4999999999999997E-2</v>
      </c>
      <c r="AI208" s="585">
        <v>1</v>
      </c>
      <c r="AJ208"/>
      <c r="AL208" s="958"/>
      <c r="AM208" s="953" t="s">
        <v>27</v>
      </c>
      <c r="AN208" s="971">
        <v>34081.126760563384</v>
      </c>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4:69">
      <c r="D209" s="601" t="s">
        <v>625</v>
      </c>
      <c r="E209" s="602">
        <v>15</v>
      </c>
      <c r="F209" s="956">
        <v>10</v>
      </c>
      <c r="G209" s="603">
        <v>25</v>
      </c>
      <c r="I209"/>
      <c r="M209" s="22"/>
      <c r="N209" s="946" t="s">
        <v>50</v>
      </c>
      <c r="O209" s="947">
        <v>32218.18181818182</v>
      </c>
      <c r="P209" s="976">
        <v>29552.727272727272</v>
      </c>
      <c r="Q209" s="948">
        <v>31329.696969696968</v>
      </c>
      <c r="R209"/>
      <c r="S209"/>
      <c r="T209"/>
      <c r="X209" s="575" t="s">
        <v>627</v>
      </c>
      <c r="Y209" s="580">
        <v>0.63959390862944165</v>
      </c>
      <c r="Z209" s="965">
        <v>0.3604060913705584</v>
      </c>
      <c r="AA209" s="585">
        <v>1</v>
      </c>
      <c r="AC209" s="576" t="s">
        <v>235</v>
      </c>
      <c r="AD209" s="577">
        <v>0.15</v>
      </c>
      <c r="AE209" s="578">
        <v>7.8125E-2</v>
      </c>
      <c r="AF209" s="578">
        <v>0.61562499999999998</v>
      </c>
      <c r="AG209" s="578">
        <v>7.8125E-2</v>
      </c>
      <c r="AH209" s="578">
        <v>7.8125E-2</v>
      </c>
      <c r="AI209" s="586">
        <v>1</v>
      </c>
      <c r="AJ209" s="8"/>
      <c r="AL209" s="85" t="s">
        <v>891</v>
      </c>
      <c r="AM209" s="84"/>
      <c r="AN209" s="914">
        <v>31766.857142857141</v>
      </c>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4:69">
      <c r="D210" s="601" t="s">
        <v>626</v>
      </c>
      <c r="E210" s="602">
        <v>29</v>
      </c>
      <c r="F210" s="956">
        <v>19</v>
      </c>
      <c r="G210" s="603">
        <v>48</v>
      </c>
      <c r="I210"/>
      <c r="M210" s="22"/>
      <c r="N210" s="946" t="s">
        <v>51</v>
      </c>
      <c r="O210" s="947">
        <v>25912</v>
      </c>
      <c r="P210" s="976">
        <v>28960</v>
      </c>
      <c r="Q210" s="948">
        <v>26615.384615384617</v>
      </c>
      <c r="R210"/>
      <c r="S210"/>
      <c r="T210"/>
      <c r="X210" s="575" t="s">
        <v>623</v>
      </c>
      <c r="Y210" s="580">
        <v>0.52</v>
      </c>
      <c r="Z210" s="965">
        <v>0.48</v>
      </c>
      <c r="AA210" s="585">
        <v>1</v>
      </c>
      <c r="AK210" s="8"/>
      <c r="AL210" s="85" t="s">
        <v>251</v>
      </c>
      <c r="AM210" s="85" t="s">
        <v>47</v>
      </c>
      <c r="AN210" s="914">
        <v>30991.111111111109</v>
      </c>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row>
    <row r="211" spans="4:69">
      <c r="D211" s="601" t="s">
        <v>627</v>
      </c>
      <c r="E211" s="602">
        <v>126</v>
      </c>
      <c r="F211" s="956">
        <v>71</v>
      </c>
      <c r="G211" s="603">
        <v>197</v>
      </c>
      <c r="I211"/>
      <c r="K211"/>
      <c r="L211"/>
      <c r="M211" s="22"/>
      <c r="N211" s="879" t="s">
        <v>235</v>
      </c>
      <c r="O211" s="912">
        <v>32098.6</v>
      </c>
      <c r="P211" s="977">
        <v>30184</v>
      </c>
      <c r="Q211" s="913">
        <v>31380.625</v>
      </c>
      <c r="R211"/>
      <c r="S211"/>
      <c r="T211"/>
      <c r="X211" s="575" t="s">
        <v>625</v>
      </c>
      <c r="Y211" s="580">
        <v>0.6</v>
      </c>
      <c r="Z211" s="965">
        <v>0.4</v>
      </c>
      <c r="AA211" s="585">
        <v>1</v>
      </c>
      <c r="AD211"/>
      <c r="AE211"/>
      <c r="AF211"/>
      <c r="AG211"/>
      <c r="AH211"/>
      <c r="AI211"/>
      <c r="AJ211"/>
      <c r="AK211" s="8"/>
      <c r="AL211" s="958"/>
      <c r="AM211" s="953" t="s">
        <v>27</v>
      </c>
      <c r="AN211" s="971">
        <v>34180</v>
      </c>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4:69">
      <c r="D212" s="604" t="s">
        <v>235</v>
      </c>
      <c r="E212" s="605">
        <v>200</v>
      </c>
      <c r="F212" s="957">
        <v>120</v>
      </c>
      <c r="G212" s="606">
        <v>320</v>
      </c>
      <c r="I212"/>
      <c r="K212"/>
      <c r="L212"/>
      <c r="M212"/>
      <c r="N212"/>
      <c r="O212"/>
      <c r="P212"/>
      <c r="Q212"/>
      <c r="X212" s="576" t="s">
        <v>235</v>
      </c>
      <c r="Y212" s="581">
        <v>0.625</v>
      </c>
      <c r="Z212" s="962">
        <v>0.375</v>
      </c>
      <c r="AA212" s="586">
        <v>1</v>
      </c>
      <c r="AD212"/>
      <c r="AE212"/>
      <c r="AF212"/>
      <c r="AG212"/>
      <c r="AH212"/>
      <c r="AI212"/>
      <c r="AJ212"/>
      <c r="AK212" s="8"/>
      <c r="AL212" s="85" t="s">
        <v>926</v>
      </c>
      <c r="AM212" s="84"/>
      <c r="AN212" s="914">
        <v>32894.925373134327</v>
      </c>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row>
    <row r="213" spans="4:69">
      <c r="E213"/>
      <c r="F213"/>
      <c r="G213"/>
      <c r="H213"/>
      <c r="I213"/>
      <c r="K213"/>
      <c r="L213"/>
      <c r="M213"/>
      <c r="N213"/>
      <c r="O213"/>
      <c r="P213"/>
      <c r="Q213"/>
      <c r="X213"/>
      <c r="Y213"/>
      <c r="Z213"/>
      <c r="AA213"/>
      <c r="AD213"/>
      <c r="AE213"/>
      <c r="AF213"/>
      <c r="AG213"/>
      <c r="AH213"/>
      <c r="AI213"/>
      <c r="AJ213"/>
      <c r="AK213" s="8"/>
      <c r="AL213" s="85" t="s">
        <v>250</v>
      </c>
      <c r="AM213" s="85" t="s">
        <v>47</v>
      </c>
      <c r="AN213" s="914">
        <v>34188</v>
      </c>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row>
    <row r="214" spans="4:69">
      <c r="E214"/>
      <c r="F214"/>
      <c r="G214"/>
      <c r="H214"/>
      <c r="I214"/>
      <c r="K214"/>
      <c r="L214"/>
      <c r="M214"/>
      <c r="N214"/>
      <c r="O214"/>
      <c r="P214"/>
      <c r="Q214"/>
      <c r="X214"/>
      <c r="Y214"/>
      <c r="Z214"/>
      <c r="AA214"/>
      <c r="AD214"/>
      <c r="AE214"/>
      <c r="AF214"/>
      <c r="AG214"/>
      <c r="AH214"/>
      <c r="AI214"/>
      <c r="AJ214"/>
      <c r="AK214" s="8"/>
      <c r="AL214" s="958"/>
      <c r="AM214" s="953" t="s">
        <v>27</v>
      </c>
      <c r="AN214" s="971">
        <v>28176.842105263157</v>
      </c>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row>
    <row r="215" spans="4:69">
      <c r="E215"/>
      <c r="F215"/>
      <c r="G215"/>
      <c r="H215"/>
      <c r="I215"/>
      <c r="K215"/>
      <c r="L215"/>
      <c r="M215"/>
      <c r="N215"/>
      <c r="O215"/>
      <c r="P215"/>
      <c r="Q215"/>
      <c r="X215"/>
      <c r="Y215"/>
      <c r="Z215"/>
      <c r="AA215"/>
      <c r="AD215"/>
      <c r="AE215"/>
      <c r="AF215"/>
      <c r="AG215"/>
      <c r="AH215"/>
      <c r="AI215"/>
      <c r="AJ215"/>
      <c r="AK215" s="8"/>
      <c r="AL215" s="85" t="s">
        <v>927</v>
      </c>
      <c r="AM215" s="84"/>
      <c r="AN215" s="914">
        <v>30828.823529411766</v>
      </c>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row>
    <row r="216" spans="4:69">
      <c r="E216"/>
      <c r="F216"/>
      <c r="G216"/>
      <c r="H216"/>
      <c r="I216"/>
      <c r="K216"/>
      <c r="L216"/>
      <c r="M216"/>
      <c r="N216"/>
      <c r="O216"/>
      <c r="P216"/>
      <c r="Q216"/>
      <c r="X216"/>
      <c r="Y216"/>
      <c r="Z216"/>
      <c r="AA216"/>
      <c r="AD216"/>
      <c r="AE216"/>
      <c r="AF216"/>
      <c r="AG216"/>
      <c r="AH216"/>
      <c r="AI216"/>
      <c r="AJ216"/>
      <c r="AK216" s="8"/>
      <c r="AL216" s="85" t="s">
        <v>618</v>
      </c>
      <c r="AM216" s="85" t="s">
        <v>47</v>
      </c>
      <c r="AN216" s="914">
        <v>29100.689655172413</v>
      </c>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row>
    <row r="217" spans="4:69">
      <c r="E217"/>
      <c r="F217"/>
      <c r="G217"/>
      <c r="H217"/>
      <c r="I217"/>
      <c r="K217"/>
      <c r="L217"/>
      <c r="M217"/>
      <c r="N217"/>
      <c r="O217"/>
      <c r="P217"/>
      <c r="Q217"/>
      <c r="AB217" s="14"/>
      <c r="AD217"/>
      <c r="AE217"/>
      <c r="AF217"/>
      <c r="AG217"/>
      <c r="AH217"/>
      <c r="AI217"/>
      <c r="AJ217"/>
      <c r="AK217" s="8"/>
      <c r="AL217" s="958"/>
      <c r="AM217" s="953" t="s">
        <v>27</v>
      </c>
      <c r="AN217" s="971">
        <v>30628.235294117647</v>
      </c>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row>
    <row r="218" spans="4:69">
      <c r="E218"/>
      <c r="F218"/>
      <c r="G218"/>
      <c r="H218"/>
      <c r="I218"/>
      <c r="K218"/>
      <c r="L218"/>
      <c r="M218"/>
      <c r="N218"/>
      <c r="O218"/>
      <c r="P218"/>
      <c r="Q218"/>
      <c r="AB218" s="14"/>
      <c r="AD218"/>
      <c r="AE218"/>
      <c r="AF218"/>
      <c r="AG218"/>
      <c r="AH218"/>
      <c r="AI218"/>
      <c r="AJ218"/>
      <c r="AK218" s="8"/>
      <c r="AL218" s="85" t="s">
        <v>928</v>
      </c>
      <c r="AM218" s="84"/>
      <c r="AN218" s="914">
        <v>30074.5</v>
      </c>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row>
    <row r="219" spans="4:69">
      <c r="E219"/>
      <c r="F219"/>
      <c r="G219"/>
      <c r="H219"/>
      <c r="I219"/>
      <c r="K219"/>
      <c r="L219"/>
      <c r="M219"/>
      <c r="N219"/>
      <c r="O219"/>
      <c r="AB219" s="14"/>
      <c r="AD219"/>
      <c r="AE219"/>
      <c r="AF219"/>
      <c r="AG219"/>
      <c r="AH219"/>
      <c r="AI219"/>
      <c r="AJ219"/>
      <c r="AK219" s="8"/>
      <c r="AL219" s="87" t="s">
        <v>235</v>
      </c>
      <c r="AM219" s="427"/>
      <c r="AN219" s="915">
        <v>31380.625</v>
      </c>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row>
    <row r="220" spans="4:69">
      <c r="E220"/>
      <c r="F220"/>
      <c r="G220"/>
      <c r="H220"/>
      <c r="I220"/>
      <c r="K220"/>
      <c r="L220"/>
      <c r="M220"/>
      <c r="N220"/>
      <c r="O220"/>
      <c r="AB220" s="14"/>
      <c r="AD220"/>
      <c r="AE220"/>
      <c r="AF220"/>
      <c r="AG220"/>
      <c r="AH220"/>
      <c r="AI220"/>
      <c r="AJ220"/>
      <c r="AK220" s="8"/>
      <c r="AL220" s="4"/>
      <c r="AM220" s="4"/>
      <c r="AN220" s="1027"/>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row>
    <row r="221" spans="4:69">
      <c r="E221"/>
      <c r="F221"/>
      <c r="G221"/>
      <c r="H221"/>
      <c r="I221"/>
      <c r="K221"/>
      <c r="L221"/>
      <c r="M221"/>
      <c r="N221"/>
      <c r="O221"/>
      <c r="AB221" s="14"/>
      <c r="AD221"/>
      <c r="AE221"/>
      <c r="AF221"/>
      <c r="AG221"/>
      <c r="AH221"/>
      <c r="AI221"/>
      <c r="AJ221"/>
      <c r="AK221" s="8"/>
      <c r="AL221" s="4"/>
      <c r="AM221" s="4"/>
      <c r="AN221" s="1027"/>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row>
    <row r="222" spans="4:69">
      <c r="E222"/>
      <c r="F222"/>
      <c r="G222"/>
      <c r="H222"/>
      <c r="I222"/>
      <c r="K222"/>
      <c r="L222"/>
      <c r="M222"/>
      <c r="N222"/>
      <c r="O222"/>
      <c r="AB222" s="14"/>
      <c r="AD222"/>
      <c r="AE222"/>
      <c r="AF222"/>
      <c r="AG222"/>
      <c r="AH222"/>
      <c r="AI222"/>
      <c r="AJ222"/>
      <c r="AK222" s="8"/>
      <c r="AL222" s="4"/>
      <c r="AM222" s="4"/>
      <c r="AN222" s="1027"/>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row>
    <row r="223" spans="4:69">
      <c r="E223"/>
      <c r="F223"/>
      <c r="G223"/>
      <c r="H223"/>
      <c r="I223"/>
      <c r="K223"/>
      <c r="L223"/>
      <c r="M223"/>
      <c r="N223"/>
      <c r="O223"/>
      <c r="AB223" s="14"/>
      <c r="AD223"/>
      <c r="AE223"/>
      <c r="AF223"/>
      <c r="AG223"/>
      <c r="AH223"/>
      <c r="AI223"/>
      <c r="AJ223"/>
      <c r="AK223" s="8"/>
      <c r="AL223" s="4"/>
      <c r="AM223" s="4"/>
      <c r="AN223" s="1027"/>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row>
    <row r="224" spans="4:69">
      <c r="E224"/>
      <c r="F224"/>
      <c r="G224"/>
      <c r="H224"/>
      <c r="I224"/>
      <c r="K224"/>
      <c r="L224"/>
      <c r="M224"/>
      <c r="N224"/>
      <c r="O224"/>
      <c r="AB224" s="14"/>
      <c r="AD224"/>
      <c r="AE224"/>
      <c r="AF224"/>
      <c r="AG224"/>
      <c r="AH224"/>
      <c r="AI224"/>
      <c r="AJ224"/>
      <c r="AK224" s="8"/>
      <c r="AL224" s="4"/>
      <c r="AM224" s="4"/>
      <c r="AN224" s="1027"/>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row>
    <row r="225" spans="1:69">
      <c r="E225"/>
      <c r="F225"/>
      <c r="G225"/>
      <c r="H225"/>
      <c r="I225"/>
      <c r="K225"/>
      <c r="L225"/>
      <c r="M225"/>
      <c r="N225"/>
      <c r="O225"/>
      <c r="AB225" s="14"/>
      <c r="AD225"/>
      <c r="AE225"/>
      <c r="AF225"/>
      <c r="AG225"/>
      <c r="AH225"/>
      <c r="AI225"/>
      <c r="AJ225"/>
      <c r="AK225" s="8"/>
      <c r="AL225" s="4"/>
      <c r="AM225" s="4"/>
      <c r="AN225" s="1027"/>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row>
    <row r="226" spans="1:69">
      <c r="E226"/>
      <c r="F226"/>
      <c r="G226"/>
      <c r="H226"/>
      <c r="I226"/>
      <c r="K226"/>
      <c r="L226"/>
      <c r="M226"/>
      <c r="N226"/>
      <c r="O226"/>
      <c r="AB226" s="14"/>
      <c r="AD226"/>
      <c r="AE226"/>
      <c r="AF226"/>
      <c r="AG226"/>
      <c r="AH226"/>
      <c r="AI226"/>
      <c r="AJ226"/>
      <c r="AK226" s="8"/>
      <c r="AL226" s="4"/>
      <c r="AM226" s="4"/>
      <c r="AN226" s="1027"/>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row>
    <row r="227" spans="1:69" s="1026" customFormat="1">
      <c r="A227" s="1025"/>
      <c r="B227" s="16"/>
      <c r="C227" s="16"/>
      <c r="D227" s="16"/>
      <c r="J227" s="16"/>
      <c r="P227" s="16"/>
      <c r="Q227" s="16"/>
      <c r="R227" s="16"/>
      <c r="S227" s="16"/>
      <c r="T227" s="16"/>
      <c r="U227" s="16"/>
      <c r="V227" s="16"/>
      <c r="W227" s="16"/>
      <c r="X227" s="16"/>
      <c r="Y227" s="16"/>
      <c r="Z227" s="16"/>
      <c r="AA227" s="16"/>
      <c r="AB227" s="16"/>
      <c r="AC227" s="16"/>
      <c r="AK227" s="9"/>
      <c r="AL227" s="16"/>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row>
    <row r="228" spans="1:69">
      <c r="E228"/>
      <c r="F228"/>
      <c r="G228"/>
      <c r="H228"/>
      <c r="I228"/>
      <c r="K228"/>
      <c r="L228"/>
      <c r="M228"/>
      <c r="N228"/>
      <c r="O228"/>
      <c r="AB228" s="14"/>
      <c r="AD228"/>
      <c r="AE228"/>
      <c r="AF228"/>
      <c r="AG228"/>
      <c r="AH228"/>
      <c r="AI228"/>
      <c r="AJ22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row>
    <row r="229" spans="1:69">
      <c r="E229"/>
      <c r="F229"/>
      <c r="G229"/>
      <c r="H229"/>
      <c r="I229"/>
      <c r="K229"/>
      <c r="L229"/>
      <c r="M229"/>
      <c r="N229"/>
      <c r="O229"/>
      <c r="AB229" s="14"/>
      <c r="AD229"/>
      <c r="AE229"/>
      <c r="AF229"/>
      <c r="AG229"/>
      <c r="AH229"/>
      <c r="AI229"/>
      <c r="AJ229"/>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row>
    <row r="230" spans="1:69">
      <c r="E230"/>
      <c r="F230"/>
      <c r="G230"/>
      <c r="H230"/>
      <c r="I230"/>
      <c r="K230"/>
      <c r="L230"/>
      <c r="M230"/>
      <c r="N230"/>
      <c r="O230"/>
      <c r="AB230" s="14"/>
      <c r="AD230"/>
      <c r="AE230"/>
      <c r="AF230"/>
      <c r="AG230"/>
      <c r="AH230"/>
      <c r="AI230"/>
      <c r="AJ230"/>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row>
    <row r="231" spans="1:69">
      <c r="E231"/>
      <c r="F231"/>
      <c r="G231"/>
      <c r="H231"/>
      <c r="I231"/>
      <c r="AB231" s="14"/>
      <c r="AD231"/>
      <c r="AE231"/>
      <c r="AF231"/>
      <c r="AG231"/>
      <c r="AH231"/>
      <c r="AI231"/>
      <c r="AJ231"/>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row>
    <row r="232" spans="1:69">
      <c r="E232"/>
      <c r="F232"/>
      <c r="G232"/>
      <c r="H232"/>
      <c r="I232"/>
      <c r="AB232" s="14"/>
      <c r="AD232"/>
      <c r="AE232"/>
      <c r="AF232"/>
      <c r="AG232"/>
      <c r="AH232"/>
      <c r="AI232"/>
      <c r="AJ232"/>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row>
    <row r="233" spans="1:69">
      <c r="E233"/>
      <c r="F233"/>
      <c r="G233"/>
      <c r="H233"/>
      <c r="I233"/>
      <c r="AB233" s="14"/>
      <c r="AD233"/>
      <c r="AE233"/>
      <c r="AF233"/>
      <c r="AG233"/>
      <c r="AH233"/>
      <c r="AI233"/>
      <c r="AJ233"/>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row>
    <row r="234" spans="1:69">
      <c r="E234"/>
      <c r="F234"/>
      <c r="G234"/>
      <c r="H234"/>
      <c r="I234"/>
      <c r="AB234" s="14"/>
      <c r="AD234"/>
      <c r="AE234"/>
      <c r="AF234"/>
      <c r="AG234"/>
      <c r="AH234"/>
      <c r="AI234"/>
      <c r="AJ234"/>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row>
    <row r="235" spans="1:69">
      <c r="E235"/>
      <c r="F235"/>
      <c r="G235"/>
      <c r="H235"/>
      <c r="I235"/>
      <c r="AB235" s="14"/>
      <c r="AD235"/>
      <c r="AE235"/>
      <c r="AF235"/>
      <c r="AG235"/>
      <c r="AH235"/>
      <c r="AI235"/>
      <c r="AJ235"/>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row>
    <row r="236" spans="1:69">
      <c r="D236" s="23"/>
      <c r="E236"/>
      <c r="F236"/>
      <c r="G236"/>
      <c r="H236"/>
      <c r="I236"/>
      <c r="AB236" s="14"/>
      <c r="AD236"/>
      <c r="AE236"/>
      <c r="AF236"/>
      <c r="AG236"/>
      <c r="AH236"/>
      <c r="AI236"/>
      <c r="AJ236"/>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row>
    <row r="237" spans="1:69">
      <c r="E237"/>
      <c r="F237"/>
      <c r="G237"/>
      <c r="H237"/>
      <c r="I237"/>
      <c r="AB237" s="14"/>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row>
    <row r="238" spans="1:69" ht="37" customHeight="1">
      <c r="D238" s="1428" t="s">
        <v>472</v>
      </c>
      <c r="E238" s="1429"/>
      <c r="F238" s="1435"/>
      <c r="G238" s="1436" t="s">
        <v>477</v>
      </c>
      <c r="H238" s="1431"/>
      <c r="I238" s="1431"/>
      <c r="J238" s="1431"/>
      <c r="K238" s="1431"/>
      <c r="L238" s="1431"/>
      <c r="M238" s="1431"/>
      <c r="N238" s="1431"/>
      <c r="O238" s="1431"/>
      <c r="P238" s="1431"/>
      <c r="Q238" s="1431"/>
      <c r="R238" s="1431"/>
      <c r="S238" s="1431"/>
      <c r="T238" s="1431"/>
      <c r="U238" s="1431"/>
      <c r="V238" s="1431"/>
      <c r="W238" s="1431"/>
      <c r="X238" s="1431"/>
      <c r="Y238" s="1431"/>
      <c r="Z238" s="1431"/>
      <c r="AA238" s="1431"/>
      <c r="AB238" s="1431"/>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row>
    <row r="239" spans="1:69" ht="37" customHeight="1">
      <c r="D239" s="1428" t="s">
        <v>473</v>
      </c>
      <c r="E239" s="1429"/>
      <c r="F239" s="1435"/>
      <c r="G239" s="1436" t="s">
        <v>478</v>
      </c>
      <c r="H239" s="1431"/>
      <c r="I239" s="1431"/>
      <c r="J239" s="1431"/>
      <c r="K239" s="1431"/>
      <c r="L239" s="1431"/>
      <c r="M239" s="1431"/>
      <c r="N239" s="1431"/>
      <c r="O239" s="1431"/>
      <c r="P239" s="1431"/>
      <c r="Q239" s="1431"/>
      <c r="R239" s="1431"/>
      <c r="S239" s="1431"/>
      <c r="T239" s="1431"/>
      <c r="U239" s="1431"/>
      <c r="V239" s="1431"/>
      <c r="W239" s="1431"/>
      <c r="X239" s="1431"/>
      <c r="Y239" s="1431"/>
      <c r="Z239" s="1431"/>
      <c r="AA239" s="1431"/>
      <c r="AB239" s="1431"/>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row>
    <row r="240" spans="1:69" ht="23" customHeight="1">
      <c r="D240" s="916"/>
      <c r="E240" s="916"/>
      <c r="F240" s="916"/>
      <c r="G240" s="863"/>
      <c r="H240" s="863"/>
      <c r="I240" s="863"/>
      <c r="J240" s="863"/>
      <c r="K240" s="863"/>
      <c r="L240" s="863"/>
      <c r="M240" s="863"/>
      <c r="N240" s="863"/>
      <c r="O240" s="863"/>
      <c r="P240" s="863"/>
      <c r="Q240" s="863"/>
      <c r="R240" s="863"/>
      <c r="S240" s="863"/>
      <c r="T240" s="863"/>
      <c r="U240" s="863"/>
      <c r="V240" s="863"/>
      <c r="W240" s="863"/>
      <c r="X240" s="863"/>
      <c r="Y240" s="863"/>
      <c r="Z240" s="863"/>
      <c r="AA240" s="863"/>
      <c r="AB240" s="863"/>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row>
    <row r="241" spans="2:69" ht="16" customHeight="1">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8"/>
      <c r="AY241" s="8"/>
      <c r="AZ241" s="8"/>
      <c r="BA241" s="8"/>
      <c r="BB241" s="8"/>
      <c r="BC241" s="8"/>
      <c r="BD241" s="8"/>
      <c r="BE241" s="8"/>
      <c r="BF241" s="8"/>
      <c r="BG241" s="8"/>
      <c r="BH241" s="8"/>
      <c r="BI241" s="8"/>
      <c r="BJ241" s="8"/>
      <c r="BK241" s="8"/>
      <c r="BL241" s="8"/>
      <c r="BM241" s="8"/>
      <c r="BN241" s="8"/>
      <c r="BO241" s="8"/>
      <c r="BP241" s="8"/>
      <c r="BQ241" s="8"/>
    </row>
    <row r="242" spans="2:69" ht="16" customHeight="1">
      <c r="D242" s="916"/>
      <c r="E242" s="916"/>
      <c r="F242" s="916"/>
      <c r="G242" s="863"/>
      <c r="H242" s="863"/>
      <c r="I242" s="863"/>
      <c r="J242" s="863"/>
      <c r="K242" s="863"/>
      <c r="L242" s="863"/>
      <c r="M242" s="863"/>
      <c r="N242" s="863"/>
      <c r="O242" s="863"/>
      <c r="P242" s="863"/>
      <c r="Q242" s="863"/>
      <c r="R242" s="863"/>
      <c r="S242" s="863"/>
      <c r="T242" s="863"/>
      <c r="U242" s="863"/>
      <c r="V242" s="863"/>
      <c r="W242" s="863"/>
      <c r="X242" s="863"/>
      <c r="Y242" s="863"/>
      <c r="Z242" s="863"/>
      <c r="AA242" s="863"/>
      <c r="AB242" s="863"/>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row>
    <row r="243" spans="2:69" ht="23" customHeight="1">
      <c r="D243" s="430" t="s">
        <v>509</v>
      </c>
      <c r="E243" s="916"/>
      <c r="F243" s="916"/>
      <c r="G243" s="863"/>
      <c r="H243" s="863"/>
      <c r="I243" s="863"/>
      <c r="J243" s="863"/>
      <c r="K243" s="863"/>
      <c r="L243" s="863"/>
      <c r="M243" s="863"/>
      <c r="N243" s="863"/>
      <c r="O243" s="863"/>
      <c r="P243" s="863"/>
      <c r="Q243" s="863"/>
      <c r="R243" s="863"/>
      <c r="S243" s="863"/>
      <c r="T243" s="863"/>
      <c r="U243" s="863"/>
      <c r="V243" s="863"/>
      <c r="W243" s="863"/>
      <c r="X243" s="863"/>
      <c r="Y243" s="863"/>
      <c r="Z243" s="863"/>
      <c r="AA243" s="863"/>
      <c r="AB243" s="863"/>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row>
    <row r="244" spans="2:69">
      <c r="AB244" s="14"/>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row>
    <row r="245" spans="2:69">
      <c r="AB245" s="14"/>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row>
    <row r="246" spans="2:69">
      <c r="C246" s="382" t="s">
        <v>498</v>
      </c>
      <c r="D246" s="382" t="s">
        <v>506</v>
      </c>
      <c r="E246" s="382" t="s">
        <v>499</v>
      </c>
      <c r="F246" s="382" t="s">
        <v>507</v>
      </c>
      <c r="G246" s="382" t="s">
        <v>508</v>
      </c>
      <c r="I246" s="377"/>
      <c r="J246" s="377"/>
      <c r="K246" s="377"/>
      <c r="L246" s="377"/>
      <c r="M246" s="377"/>
      <c r="N246" s="377"/>
      <c r="O246" s="377"/>
      <c r="P246" s="377"/>
      <c r="Q246" s="377"/>
      <c r="R246" s="377"/>
      <c r="S246" s="377"/>
      <c r="T246" s="377"/>
      <c r="U246" s="377"/>
      <c r="V246" s="377"/>
      <c r="W246" s="377"/>
      <c r="X246" s="377"/>
      <c r="Y246" s="377"/>
      <c r="Z246" s="377"/>
      <c r="AA246" s="377"/>
      <c r="AB246" s="377"/>
      <c r="AC246" s="377"/>
      <c r="AD246" s="377"/>
      <c r="AE246" s="377"/>
      <c r="AF246" s="377"/>
      <c r="AG246" s="377"/>
      <c r="AH246" s="377"/>
      <c r="AI246" s="377"/>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row>
    <row r="247" spans="2:69">
      <c r="C247" s="381" t="s">
        <v>27</v>
      </c>
      <c r="D247" s="379">
        <v>60</v>
      </c>
      <c r="E247" s="380">
        <v>20320</v>
      </c>
      <c r="F247" s="927">
        <v>400</v>
      </c>
      <c r="G247" s="380" t="s">
        <v>505</v>
      </c>
      <c r="I247"/>
      <c r="J247"/>
      <c r="K247"/>
      <c r="L247"/>
      <c r="M247"/>
      <c r="N247"/>
      <c r="O247"/>
      <c r="P247"/>
      <c r="Q247"/>
      <c r="R247"/>
      <c r="S247"/>
      <c r="T247"/>
      <c r="U247"/>
      <c r="V247"/>
      <c r="W247"/>
      <c r="X247"/>
      <c r="Y247"/>
      <c r="Z247"/>
      <c r="AA247"/>
      <c r="AC247"/>
      <c r="AD247"/>
      <c r="AE247"/>
      <c r="AF247"/>
      <c r="AG247"/>
      <c r="AH247"/>
      <c r="AI247"/>
    </row>
    <row r="248" spans="2:69">
      <c r="C248" s="381" t="s">
        <v>27</v>
      </c>
      <c r="D248" s="379">
        <v>61</v>
      </c>
      <c r="E248" s="380">
        <v>14320</v>
      </c>
      <c r="F248" s="927">
        <v>200</v>
      </c>
      <c r="G248" s="380" t="s">
        <v>504</v>
      </c>
      <c r="I248"/>
      <c r="J248"/>
      <c r="K248"/>
      <c r="L248"/>
      <c r="M248"/>
      <c r="N248"/>
      <c r="O248"/>
      <c r="P248"/>
      <c r="Q248"/>
      <c r="R248"/>
      <c r="S248"/>
      <c r="T248"/>
      <c r="U248"/>
      <c r="V248"/>
      <c r="W248"/>
      <c r="X248"/>
      <c r="Y248"/>
      <c r="Z248"/>
      <c r="AA248"/>
      <c r="AC248"/>
      <c r="AD248"/>
      <c r="AE248"/>
      <c r="AF248"/>
      <c r="AG248"/>
      <c r="AH248"/>
      <c r="AI248"/>
    </row>
    <row r="249" spans="2:69">
      <c r="C249" s="381" t="s">
        <v>27</v>
      </c>
      <c r="D249" s="379">
        <v>60</v>
      </c>
      <c r="E249" s="380">
        <v>25000</v>
      </c>
      <c r="F249" s="927">
        <v>300</v>
      </c>
      <c r="G249" s="380" t="s">
        <v>501</v>
      </c>
      <c r="I249"/>
      <c r="J249"/>
      <c r="K249"/>
      <c r="L249"/>
      <c r="M249"/>
      <c r="N249"/>
      <c r="O249"/>
      <c r="P249"/>
      <c r="Q249"/>
      <c r="R249"/>
      <c r="S249"/>
      <c r="T249"/>
      <c r="U249"/>
      <c r="V249"/>
      <c r="W249"/>
      <c r="X249"/>
      <c r="Y249"/>
      <c r="Z249"/>
      <c r="AA249"/>
      <c r="AC249"/>
      <c r="AD249"/>
      <c r="AE249"/>
      <c r="AF249"/>
      <c r="AG249"/>
      <c r="AH249"/>
      <c r="AI249"/>
    </row>
    <row r="250" spans="2:69">
      <c r="C250" s="381" t="s">
        <v>27</v>
      </c>
      <c r="D250" s="379">
        <v>60</v>
      </c>
      <c r="E250" s="380">
        <v>46600</v>
      </c>
      <c r="F250" s="927">
        <v>200</v>
      </c>
      <c r="G250" s="380" t="s">
        <v>501</v>
      </c>
      <c r="I250"/>
      <c r="J250"/>
      <c r="K250"/>
      <c r="L250"/>
      <c r="M250"/>
      <c r="N250"/>
      <c r="O250"/>
      <c r="P250"/>
      <c r="Q250"/>
      <c r="R250"/>
      <c r="S250"/>
      <c r="T250"/>
      <c r="U250"/>
      <c r="V250"/>
      <c r="W250"/>
      <c r="X250"/>
      <c r="Y250"/>
      <c r="Z250"/>
      <c r="AA250"/>
      <c r="AC250"/>
      <c r="AD250"/>
      <c r="AE250"/>
      <c r="AF250"/>
      <c r="AG250"/>
      <c r="AH250"/>
      <c r="AI250"/>
    </row>
    <row r="251" spans="2:69">
      <c r="C251" s="381" t="s">
        <v>27</v>
      </c>
      <c r="D251" s="379">
        <v>54</v>
      </c>
      <c r="E251" s="380">
        <v>16000</v>
      </c>
      <c r="F251" s="927">
        <v>200</v>
      </c>
      <c r="G251" s="380" t="s">
        <v>501</v>
      </c>
      <c r="I251"/>
      <c r="J251"/>
      <c r="K251"/>
      <c r="L251"/>
      <c r="M251"/>
      <c r="N251"/>
      <c r="O251"/>
      <c r="P251"/>
      <c r="Q251"/>
      <c r="R251"/>
      <c r="S251"/>
      <c r="T251"/>
      <c r="U251"/>
      <c r="V251"/>
      <c r="W251"/>
      <c r="X251"/>
      <c r="Y251"/>
      <c r="Z251"/>
      <c r="AA251"/>
      <c r="AC251"/>
      <c r="AD251"/>
      <c r="AE251"/>
      <c r="AF251"/>
      <c r="AG251"/>
      <c r="AH251"/>
      <c r="AI251"/>
    </row>
    <row r="252" spans="2:69">
      <c r="C252" s="381" t="s">
        <v>27</v>
      </c>
      <c r="D252" s="379">
        <v>55</v>
      </c>
      <c r="E252" s="380">
        <v>40000</v>
      </c>
      <c r="F252" s="927">
        <v>100</v>
      </c>
      <c r="G252" s="380" t="s">
        <v>501</v>
      </c>
      <c r="I252"/>
      <c r="J252"/>
      <c r="K252"/>
      <c r="L252"/>
      <c r="M252"/>
      <c r="N252"/>
      <c r="O252"/>
      <c r="P252"/>
      <c r="Q252"/>
      <c r="R252"/>
      <c r="S252"/>
      <c r="T252"/>
      <c r="U252"/>
      <c r="V252"/>
      <c r="W252"/>
      <c r="X252"/>
      <c r="Y252"/>
      <c r="Z252"/>
      <c r="AA252"/>
      <c r="AC252"/>
      <c r="AD252"/>
      <c r="AE252"/>
      <c r="AF252"/>
      <c r="AG252"/>
      <c r="AH252"/>
      <c r="AI252"/>
    </row>
    <row r="253" spans="2:69">
      <c r="C253" s="381" t="s">
        <v>27</v>
      </c>
      <c r="D253" s="379">
        <v>57</v>
      </c>
      <c r="E253" s="380">
        <v>47920</v>
      </c>
      <c r="F253" s="927">
        <v>500</v>
      </c>
      <c r="G253" s="380" t="s">
        <v>504</v>
      </c>
      <c r="I253"/>
      <c r="J253"/>
      <c r="K253"/>
      <c r="L253"/>
      <c r="M253"/>
      <c r="N253"/>
      <c r="O253"/>
      <c r="P253"/>
      <c r="Q253"/>
      <c r="R253"/>
      <c r="S253"/>
      <c r="T253"/>
      <c r="U253"/>
      <c r="V253"/>
      <c r="W253"/>
      <c r="X253"/>
      <c r="Y253"/>
      <c r="Z253"/>
      <c r="AA253"/>
      <c r="AC253"/>
      <c r="AD253"/>
      <c r="AE253"/>
      <c r="AF253"/>
      <c r="AG253"/>
      <c r="AH253"/>
      <c r="AI253"/>
    </row>
    <row r="254" spans="2:69">
      <c r="C254" s="381" t="s">
        <v>27</v>
      </c>
      <c r="D254" s="379">
        <v>60</v>
      </c>
      <c r="E254" s="380">
        <v>17200</v>
      </c>
      <c r="F254" s="927">
        <v>200</v>
      </c>
      <c r="G254" s="380" t="s">
        <v>503</v>
      </c>
      <c r="I254"/>
      <c r="J254"/>
      <c r="K254"/>
      <c r="L254"/>
      <c r="M254"/>
      <c r="N254"/>
      <c r="O254"/>
      <c r="P254"/>
      <c r="Q254"/>
      <c r="R254"/>
      <c r="S254"/>
      <c r="T254"/>
      <c r="U254"/>
      <c r="V254"/>
      <c r="W254"/>
      <c r="X254"/>
      <c r="Y254"/>
      <c r="Z254"/>
      <c r="AA254"/>
      <c r="AC254"/>
      <c r="AD254"/>
      <c r="AE254"/>
      <c r="AF254"/>
      <c r="AG254"/>
      <c r="AH254"/>
      <c r="AI254"/>
    </row>
    <row r="255" spans="2:69">
      <c r="C255" s="381" t="s">
        <v>27</v>
      </c>
      <c r="D255" s="379">
        <v>50</v>
      </c>
      <c r="E255" s="380">
        <v>37360</v>
      </c>
      <c r="F255" s="927">
        <v>300</v>
      </c>
      <c r="G255" s="380" t="s">
        <v>501</v>
      </c>
      <c r="I255"/>
      <c r="J255"/>
      <c r="K255"/>
      <c r="L255"/>
      <c r="M255"/>
      <c r="N255"/>
      <c r="O255"/>
      <c r="P255"/>
      <c r="Q255"/>
      <c r="R255"/>
      <c r="S255"/>
      <c r="T255"/>
      <c r="U255"/>
      <c r="V255"/>
      <c r="W255"/>
      <c r="X255"/>
      <c r="Y255"/>
      <c r="Z255"/>
      <c r="AA255"/>
      <c r="AC255"/>
      <c r="AD255"/>
      <c r="AE255"/>
      <c r="AF255"/>
      <c r="AG255"/>
      <c r="AH255"/>
      <c r="AI255"/>
    </row>
    <row r="256" spans="2:69">
      <c r="C256" s="381" t="s">
        <v>47</v>
      </c>
      <c r="D256" s="379">
        <v>58</v>
      </c>
      <c r="E256" s="380">
        <v>20080</v>
      </c>
      <c r="F256" s="927">
        <v>200</v>
      </c>
      <c r="G256" s="380" t="s">
        <v>501</v>
      </c>
      <c r="I256"/>
      <c r="J256"/>
      <c r="K256"/>
      <c r="L256"/>
      <c r="M256"/>
      <c r="N256"/>
      <c r="O256"/>
      <c r="P256"/>
      <c r="Q256"/>
      <c r="R256"/>
      <c r="S256"/>
      <c r="T256"/>
      <c r="U256"/>
      <c r="V256"/>
      <c r="W256"/>
      <c r="X256"/>
      <c r="Y256"/>
      <c r="Z256"/>
      <c r="AA256"/>
      <c r="AC256"/>
      <c r="AD256"/>
      <c r="AE256"/>
      <c r="AF256"/>
      <c r="AG256"/>
      <c r="AH256"/>
      <c r="AI256"/>
    </row>
    <row r="257" spans="3:35">
      <c r="C257" s="381" t="s">
        <v>47</v>
      </c>
      <c r="D257" s="379">
        <v>52</v>
      </c>
      <c r="E257" s="380">
        <v>30760</v>
      </c>
      <c r="F257" s="927">
        <v>100</v>
      </c>
      <c r="G257" s="380" t="s">
        <v>501</v>
      </c>
      <c r="I257"/>
      <c r="J257"/>
      <c r="K257"/>
      <c r="L257"/>
      <c r="M257"/>
      <c r="N257"/>
      <c r="O257"/>
      <c r="P257"/>
      <c r="Q257"/>
      <c r="R257"/>
      <c r="S257"/>
      <c r="T257"/>
      <c r="U257"/>
      <c r="V257"/>
      <c r="W257"/>
      <c r="X257"/>
      <c r="Y257"/>
      <c r="Z257"/>
      <c r="AA257"/>
      <c r="AC257"/>
      <c r="AD257"/>
      <c r="AE257"/>
      <c r="AF257"/>
      <c r="AG257"/>
      <c r="AH257"/>
      <c r="AI257"/>
    </row>
    <row r="258" spans="3:35">
      <c r="C258" s="381" t="s">
        <v>27</v>
      </c>
      <c r="D258" s="379">
        <v>60</v>
      </c>
      <c r="E258" s="380">
        <v>20320</v>
      </c>
      <c r="F258" s="927">
        <v>100</v>
      </c>
      <c r="G258" s="380" t="s">
        <v>501</v>
      </c>
      <c r="I258"/>
      <c r="J258"/>
      <c r="K258"/>
      <c r="L258"/>
      <c r="M258"/>
      <c r="N258"/>
      <c r="O258"/>
      <c r="P258"/>
      <c r="Q258"/>
      <c r="R258"/>
      <c r="S258"/>
      <c r="T258"/>
      <c r="U258"/>
      <c r="V258"/>
      <c r="W258"/>
      <c r="X258"/>
      <c r="Y258"/>
      <c r="Z258"/>
      <c r="AA258"/>
      <c r="AC258"/>
      <c r="AD258"/>
      <c r="AE258"/>
      <c r="AF258"/>
      <c r="AG258"/>
      <c r="AH258"/>
      <c r="AI258"/>
    </row>
    <row r="259" spans="3:35">
      <c r="C259" s="381" t="s">
        <v>27</v>
      </c>
      <c r="D259" s="379">
        <v>58</v>
      </c>
      <c r="E259" s="380">
        <v>30760</v>
      </c>
      <c r="F259" s="927">
        <v>300</v>
      </c>
      <c r="G259" s="380" t="s">
        <v>504</v>
      </c>
      <c r="I259"/>
      <c r="J259"/>
      <c r="K259"/>
      <c r="L259"/>
      <c r="M259"/>
      <c r="N259"/>
      <c r="O259"/>
      <c r="P259"/>
      <c r="Q259"/>
      <c r="R259"/>
      <c r="S259"/>
      <c r="T259"/>
      <c r="U259"/>
      <c r="V259"/>
      <c r="W259"/>
      <c r="X259"/>
      <c r="Y259"/>
      <c r="Z259"/>
      <c r="AA259"/>
      <c r="AC259"/>
      <c r="AD259"/>
      <c r="AE259"/>
      <c r="AF259"/>
      <c r="AG259"/>
      <c r="AH259"/>
      <c r="AI259"/>
    </row>
    <row r="260" spans="3:35">
      <c r="C260" s="381" t="s">
        <v>47</v>
      </c>
      <c r="D260" s="379">
        <v>52</v>
      </c>
      <c r="E260" s="380">
        <v>17200</v>
      </c>
      <c r="F260" s="927">
        <v>200</v>
      </c>
      <c r="G260" s="380" t="s">
        <v>501</v>
      </c>
      <c r="I260"/>
      <c r="J260"/>
      <c r="K260"/>
      <c r="L260"/>
      <c r="M260"/>
      <c r="N260"/>
      <c r="O260"/>
      <c r="P260"/>
      <c r="Q260"/>
      <c r="R260"/>
      <c r="S260"/>
      <c r="T260"/>
      <c r="U260"/>
      <c r="V260"/>
      <c r="W260"/>
      <c r="X260"/>
      <c r="Y260"/>
      <c r="Z260"/>
      <c r="AA260"/>
      <c r="AC260"/>
      <c r="AD260"/>
      <c r="AE260"/>
      <c r="AF260"/>
      <c r="AG260"/>
      <c r="AH260"/>
      <c r="AI260"/>
    </row>
    <row r="261" spans="3:35">
      <c r="C261" s="381" t="s">
        <v>27</v>
      </c>
      <c r="D261" s="379">
        <v>48</v>
      </c>
      <c r="E261" s="380">
        <v>61000</v>
      </c>
      <c r="F261" s="927">
        <v>200</v>
      </c>
      <c r="G261" s="380" t="s">
        <v>501</v>
      </c>
      <c r="I261"/>
      <c r="J261"/>
      <c r="K261"/>
      <c r="L261"/>
      <c r="M261"/>
      <c r="N261"/>
      <c r="O261"/>
      <c r="P261"/>
      <c r="Q261"/>
      <c r="R261"/>
      <c r="S261"/>
      <c r="T261"/>
      <c r="U261"/>
      <c r="V261"/>
      <c r="W261"/>
      <c r="X261"/>
      <c r="Y261"/>
      <c r="Z261"/>
      <c r="AA261"/>
      <c r="AC261"/>
      <c r="AD261"/>
      <c r="AE261"/>
      <c r="AF261"/>
      <c r="AG261"/>
      <c r="AH261"/>
      <c r="AI261"/>
    </row>
    <row r="262" spans="3:35">
      <c r="C262" s="381" t="s">
        <v>27</v>
      </c>
      <c r="D262" s="379">
        <v>46</v>
      </c>
      <c r="E262" s="380">
        <v>19120</v>
      </c>
      <c r="F262" s="927">
        <v>300</v>
      </c>
      <c r="G262" s="380" t="s">
        <v>504</v>
      </c>
      <c r="I262"/>
      <c r="J262"/>
      <c r="K262"/>
      <c r="L262"/>
      <c r="M262"/>
      <c r="N262"/>
      <c r="O262"/>
      <c r="P262"/>
      <c r="Q262"/>
      <c r="R262"/>
      <c r="S262"/>
      <c r="T262"/>
      <c r="U262"/>
      <c r="V262"/>
      <c r="W262"/>
      <c r="X262"/>
      <c r="Y262"/>
      <c r="Z262"/>
      <c r="AA262"/>
      <c r="AC262"/>
      <c r="AD262"/>
      <c r="AE262"/>
      <c r="AF262"/>
      <c r="AG262"/>
      <c r="AH262"/>
      <c r="AI262"/>
    </row>
    <row r="263" spans="3:35">
      <c r="C263" s="381" t="s">
        <v>27</v>
      </c>
      <c r="D263" s="379">
        <v>52</v>
      </c>
      <c r="E263" s="380">
        <v>34360</v>
      </c>
      <c r="F263" s="927">
        <v>100</v>
      </c>
      <c r="G263" s="380" t="s">
        <v>501</v>
      </c>
      <c r="I263"/>
      <c r="J263"/>
      <c r="K263"/>
      <c r="L263"/>
      <c r="M263"/>
      <c r="N263"/>
      <c r="O263"/>
      <c r="P263"/>
      <c r="Q263"/>
      <c r="R263"/>
      <c r="S263"/>
      <c r="T263"/>
      <c r="U263"/>
      <c r="V263"/>
      <c r="W263"/>
      <c r="X263"/>
      <c r="Y263"/>
      <c r="Z263"/>
      <c r="AA263"/>
      <c r="AC263"/>
      <c r="AD263"/>
      <c r="AE263"/>
      <c r="AF263"/>
      <c r="AG263"/>
      <c r="AH263"/>
      <c r="AI263"/>
    </row>
    <row r="264" spans="3:35">
      <c r="C264" s="381" t="s">
        <v>47</v>
      </c>
      <c r="D264" s="379">
        <v>44</v>
      </c>
      <c r="E264" s="380">
        <v>18400</v>
      </c>
      <c r="F264" s="927">
        <v>300</v>
      </c>
      <c r="G264" s="380" t="s">
        <v>501</v>
      </c>
      <c r="I264"/>
      <c r="J264"/>
      <c r="K264"/>
      <c r="L264"/>
      <c r="M264"/>
      <c r="N264"/>
      <c r="O264"/>
      <c r="P264"/>
      <c r="Q264"/>
      <c r="R264"/>
      <c r="S264"/>
      <c r="T264"/>
      <c r="U264"/>
      <c r="V264"/>
      <c r="W264"/>
      <c r="X264"/>
      <c r="Y264"/>
      <c r="Z264"/>
      <c r="AA264"/>
      <c r="AC264"/>
      <c r="AD264"/>
      <c r="AE264"/>
      <c r="AF264"/>
      <c r="AG264"/>
      <c r="AH264"/>
      <c r="AI264"/>
    </row>
    <row r="265" spans="3:35">
      <c r="C265" s="381" t="s">
        <v>27</v>
      </c>
      <c r="D265" s="379">
        <v>47</v>
      </c>
      <c r="E265" s="380">
        <v>20320</v>
      </c>
      <c r="F265" s="927">
        <v>300</v>
      </c>
      <c r="G265" s="380" t="s">
        <v>501</v>
      </c>
      <c r="I265"/>
      <c r="J265"/>
      <c r="K265"/>
      <c r="L265"/>
      <c r="M265"/>
      <c r="N265"/>
      <c r="O265"/>
      <c r="P265"/>
      <c r="Q265"/>
      <c r="R265"/>
      <c r="S265"/>
      <c r="T265"/>
      <c r="U265"/>
      <c r="V265"/>
      <c r="W265"/>
      <c r="X265"/>
      <c r="Y265"/>
      <c r="Z265"/>
      <c r="AA265"/>
      <c r="AC265"/>
      <c r="AD265"/>
      <c r="AE265"/>
      <c r="AF265"/>
      <c r="AG265"/>
      <c r="AH265"/>
      <c r="AI265"/>
    </row>
    <row r="266" spans="3:35">
      <c r="C266" s="381" t="s">
        <v>27</v>
      </c>
      <c r="D266" s="379">
        <v>42</v>
      </c>
      <c r="E266" s="380">
        <v>19600</v>
      </c>
      <c r="F266" s="927">
        <v>200</v>
      </c>
      <c r="G266" s="380" t="s">
        <v>501</v>
      </c>
      <c r="I266"/>
      <c r="J266"/>
      <c r="K266"/>
      <c r="L266"/>
      <c r="M266"/>
      <c r="N266"/>
      <c r="O266"/>
      <c r="P266"/>
      <c r="Q266"/>
      <c r="R266"/>
      <c r="S266"/>
      <c r="T266"/>
      <c r="U266"/>
      <c r="V266"/>
      <c r="W266"/>
      <c r="X266"/>
      <c r="Y266"/>
      <c r="Z266"/>
      <c r="AA266"/>
      <c r="AC266"/>
      <c r="AD266"/>
      <c r="AE266"/>
      <c r="AF266"/>
      <c r="AG266"/>
      <c r="AH266"/>
      <c r="AI266"/>
    </row>
    <row r="267" spans="3:35">
      <c r="C267" s="381" t="s">
        <v>47</v>
      </c>
      <c r="D267" s="379">
        <v>44</v>
      </c>
      <c r="E267" s="380">
        <v>25000</v>
      </c>
      <c r="F267" s="927">
        <v>100</v>
      </c>
      <c r="G267" s="380" t="s">
        <v>501</v>
      </c>
      <c r="I267"/>
      <c r="J267"/>
      <c r="K267"/>
      <c r="L267"/>
      <c r="M267"/>
      <c r="N267"/>
      <c r="O267"/>
      <c r="P267"/>
      <c r="Q267"/>
      <c r="R267"/>
      <c r="S267"/>
      <c r="T267"/>
      <c r="U267"/>
      <c r="V267"/>
      <c r="W267"/>
      <c r="X267"/>
      <c r="Y267"/>
      <c r="Z267"/>
      <c r="AA267"/>
      <c r="AC267"/>
      <c r="AD267"/>
      <c r="AE267"/>
      <c r="AF267"/>
      <c r="AG267"/>
      <c r="AH267"/>
      <c r="AI267"/>
    </row>
    <row r="268" spans="3:35">
      <c r="C268" s="381" t="s">
        <v>27</v>
      </c>
      <c r="D268" s="379">
        <v>55</v>
      </c>
      <c r="E268" s="380">
        <v>22720</v>
      </c>
      <c r="F268" s="927">
        <v>100</v>
      </c>
      <c r="G268" s="380" t="s">
        <v>501</v>
      </c>
      <c r="I268"/>
      <c r="J268"/>
      <c r="K268"/>
      <c r="L268"/>
      <c r="M268"/>
      <c r="N268"/>
      <c r="O268"/>
      <c r="P268"/>
      <c r="Q268"/>
      <c r="R268"/>
      <c r="S268"/>
      <c r="T268"/>
      <c r="U268"/>
      <c r="V268"/>
      <c r="W268"/>
      <c r="X268"/>
      <c r="Y268"/>
      <c r="Z268"/>
      <c r="AA268"/>
      <c r="AC268"/>
      <c r="AD268"/>
      <c r="AE268"/>
      <c r="AF268"/>
      <c r="AG268"/>
      <c r="AH268"/>
      <c r="AI268"/>
    </row>
    <row r="269" spans="3:35">
      <c r="C269" s="381" t="s">
        <v>47</v>
      </c>
      <c r="D269" s="379">
        <v>41</v>
      </c>
      <c r="E269" s="380">
        <v>34720</v>
      </c>
      <c r="F269" s="927">
        <v>300</v>
      </c>
      <c r="G269" s="380" t="s">
        <v>505</v>
      </c>
      <c r="I269"/>
      <c r="J269"/>
      <c r="K269"/>
      <c r="L269"/>
      <c r="M269"/>
      <c r="N269"/>
      <c r="O269"/>
      <c r="P269"/>
      <c r="Q269"/>
      <c r="R269"/>
      <c r="S269"/>
      <c r="T269"/>
      <c r="U269"/>
      <c r="V269"/>
      <c r="W269"/>
      <c r="X269"/>
      <c r="Y269"/>
      <c r="Z269"/>
      <c r="AA269"/>
      <c r="AC269"/>
      <c r="AD269"/>
      <c r="AE269"/>
      <c r="AF269"/>
      <c r="AG269"/>
      <c r="AH269"/>
      <c r="AI269"/>
    </row>
    <row r="270" spans="3:35">
      <c r="C270" s="381" t="s">
        <v>27</v>
      </c>
      <c r="D270" s="379">
        <v>58</v>
      </c>
      <c r="E270" s="380">
        <v>61000</v>
      </c>
      <c r="F270" s="927">
        <v>300</v>
      </c>
      <c r="G270" s="380" t="s">
        <v>503</v>
      </c>
      <c r="I270"/>
      <c r="J270"/>
      <c r="K270"/>
      <c r="L270"/>
      <c r="M270"/>
      <c r="N270"/>
      <c r="O270"/>
      <c r="P270"/>
      <c r="Q270"/>
      <c r="R270"/>
      <c r="S270"/>
      <c r="T270"/>
      <c r="U270"/>
      <c r="V270"/>
      <c r="W270"/>
      <c r="X270"/>
      <c r="Y270"/>
      <c r="Z270"/>
      <c r="AA270"/>
      <c r="AC270"/>
      <c r="AD270"/>
      <c r="AE270"/>
      <c r="AF270"/>
      <c r="AG270"/>
      <c r="AH270"/>
      <c r="AI270"/>
    </row>
    <row r="271" spans="3:35">
      <c r="C271" s="381" t="s">
        <v>27</v>
      </c>
      <c r="D271" s="379">
        <v>40</v>
      </c>
      <c r="E271" s="380">
        <v>28600</v>
      </c>
      <c r="F271" s="927">
        <v>200</v>
      </c>
      <c r="G271" s="380" t="s">
        <v>501</v>
      </c>
      <c r="I271"/>
      <c r="J271"/>
      <c r="K271"/>
      <c r="L271"/>
      <c r="M271"/>
      <c r="N271"/>
      <c r="O271"/>
      <c r="P271"/>
      <c r="Q271"/>
      <c r="R271"/>
      <c r="S271"/>
      <c r="T271"/>
      <c r="U271"/>
      <c r="V271"/>
      <c r="W271"/>
      <c r="X271"/>
      <c r="Y271"/>
      <c r="Z271"/>
      <c r="AA271"/>
      <c r="AC271"/>
      <c r="AD271"/>
      <c r="AE271"/>
      <c r="AF271"/>
      <c r="AG271"/>
      <c r="AH271"/>
      <c r="AI271"/>
    </row>
    <row r="272" spans="3:35">
      <c r="C272" s="381" t="s">
        <v>27</v>
      </c>
      <c r="D272" s="379">
        <v>42</v>
      </c>
      <c r="E272" s="380">
        <v>37840</v>
      </c>
      <c r="F272" s="927">
        <v>200</v>
      </c>
      <c r="G272" s="380" t="s">
        <v>501</v>
      </c>
      <c r="I272"/>
      <c r="J272"/>
      <c r="K272"/>
      <c r="L272"/>
      <c r="M272"/>
      <c r="N272"/>
      <c r="O272"/>
      <c r="P272"/>
      <c r="Q272"/>
      <c r="R272"/>
      <c r="S272"/>
      <c r="T272"/>
      <c r="U272"/>
      <c r="V272"/>
      <c r="W272"/>
      <c r="X272"/>
      <c r="Y272"/>
      <c r="Z272"/>
      <c r="AA272"/>
      <c r="AC272"/>
      <c r="AD272"/>
      <c r="AE272"/>
      <c r="AF272"/>
      <c r="AG272"/>
      <c r="AH272"/>
      <c r="AI272"/>
    </row>
    <row r="273" spans="3:35">
      <c r="C273" s="381" t="s">
        <v>47</v>
      </c>
      <c r="D273" s="379">
        <v>60</v>
      </c>
      <c r="E273" s="380">
        <v>37240</v>
      </c>
      <c r="F273" s="927">
        <v>100</v>
      </c>
      <c r="G273" s="380" t="s">
        <v>501</v>
      </c>
      <c r="I273"/>
      <c r="J273"/>
      <c r="K273"/>
      <c r="L273"/>
      <c r="M273"/>
      <c r="N273"/>
      <c r="O273"/>
      <c r="P273"/>
      <c r="Q273"/>
      <c r="R273"/>
      <c r="S273"/>
      <c r="T273"/>
      <c r="U273"/>
      <c r="V273"/>
      <c r="W273"/>
      <c r="X273"/>
      <c r="Y273"/>
      <c r="Z273"/>
      <c r="AA273"/>
      <c r="AC273"/>
      <c r="AD273"/>
      <c r="AE273"/>
      <c r="AF273"/>
      <c r="AG273"/>
      <c r="AH273"/>
      <c r="AI273"/>
    </row>
    <row r="274" spans="3:35">
      <c r="C274" s="381" t="s">
        <v>27</v>
      </c>
      <c r="D274" s="379">
        <v>50</v>
      </c>
      <c r="E274" s="380">
        <v>57400</v>
      </c>
      <c r="F274" s="927">
        <v>300</v>
      </c>
      <c r="G274" s="380" t="s">
        <v>501</v>
      </c>
      <c r="I274"/>
      <c r="J274"/>
      <c r="K274"/>
      <c r="L274"/>
      <c r="M274"/>
      <c r="N274"/>
      <c r="O274"/>
      <c r="P274"/>
      <c r="Q274"/>
      <c r="R274"/>
      <c r="S274"/>
      <c r="T274"/>
      <c r="U274"/>
      <c r="V274"/>
      <c r="W274"/>
      <c r="X274"/>
      <c r="Y274"/>
      <c r="Z274"/>
      <c r="AA274"/>
      <c r="AC274"/>
      <c r="AD274"/>
      <c r="AE274"/>
      <c r="AF274"/>
      <c r="AG274"/>
      <c r="AH274"/>
      <c r="AI274"/>
    </row>
    <row r="275" spans="3:35">
      <c r="C275" s="381" t="s">
        <v>47</v>
      </c>
      <c r="D275" s="379">
        <v>47</v>
      </c>
      <c r="E275" s="380">
        <v>22720</v>
      </c>
      <c r="F275" s="927">
        <v>400</v>
      </c>
      <c r="G275" s="380" t="s">
        <v>504</v>
      </c>
      <c r="I275"/>
      <c r="J275"/>
      <c r="K275"/>
      <c r="L275"/>
      <c r="M275"/>
      <c r="N275"/>
      <c r="O275"/>
      <c r="P275"/>
      <c r="Q275"/>
      <c r="R275"/>
      <c r="S275"/>
      <c r="T275"/>
      <c r="U275"/>
      <c r="V275"/>
      <c r="W275"/>
      <c r="X275"/>
      <c r="Y275"/>
      <c r="Z275"/>
      <c r="AA275"/>
      <c r="AC275"/>
      <c r="AD275"/>
      <c r="AE275"/>
      <c r="AF275"/>
      <c r="AG275"/>
      <c r="AH275"/>
      <c r="AI275"/>
    </row>
    <row r="276" spans="3:35">
      <c r="C276" s="381" t="e">
        <v>#REF!</v>
      </c>
      <c r="D276" s="379" t="e">
        <v>#REF!</v>
      </c>
      <c r="E276" s="380" t="e">
        <v>#REF!</v>
      </c>
      <c r="F276" s="380" t="e">
        <v>#REF!</v>
      </c>
      <c r="G276" s="380" t="e">
        <v>#REF!</v>
      </c>
      <c r="I276"/>
      <c r="J276"/>
      <c r="K276"/>
      <c r="L276"/>
      <c r="M276"/>
      <c r="N276"/>
      <c r="O276"/>
      <c r="P276"/>
      <c r="Q276"/>
      <c r="R276"/>
      <c r="S276"/>
      <c r="T276"/>
      <c r="U276"/>
      <c r="V276"/>
      <c r="W276"/>
      <c r="X276"/>
      <c r="Y276"/>
      <c r="Z276"/>
      <c r="AA276"/>
      <c r="AC276"/>
      <c r="AD276"/>
      <c r="AE276"/>
      <c r="AF276"/>
      <c r="AG276"/>
      <c r="AH276"/>
      <c r="AI276"/>
    </row>
    <row r="277" spans="3:35">
      <c r="C277" s="381" t="s">
        <v>27</v>
      </c>
      <c r="D277" s="379">
        <v>61</v>
      </c>
      <c r="E277" s="380">
        <v>22240</v>
      </c>
      <c r="F277" s="927">
        <v>400</v>
      </c>
      <c r="G277" s="380" t="s">
        <v>501</v>
      </c>
      <c r="I277"/>
      <c r="J277"/>
      <c r="K277"/>
      <c r="L277"/>
      <c r="M277"/>
      <c r="N277"/>
      <c r="O277"/>
      <c r="P277"/>
      <c r="Q277"/>
      <c r="R277"/>
      <c r="S277"/>
      <c r="T277"/>
      <c r="U277"/>
      <c r="V277"/>
      <c r="W277"/>
      <c r="X277"/>
      <c r="Y277"/>
      <c r="Z277"/>
      <c r="AA277"/>
      <c r="AC277"/>
      <c r="AD277"/>
      <c r="AE277"/>
      <c r="AF277"/>
      <c r="AG277"/>
      <c r="AH277"/>
      <c r="AI277"/>
    </row>
    <row r="278" spans="3:35">
      <c r="C278" s="381" t="s">
        <v>27</v>
      </c>
      <c r="D278" s="379">
        <v>57</v>
      </c>
      <c r="E278" s="380">
        <v>47920</v>
      </c>
      <c r="F278" s="927">
        <v>300</v>
      </c>
      <c r="G278" s="380" t="s">
        <v>501</v>
      </c>
      <c r="I278"/>
      <c r="J278"/>
      <c r="K278"/>
      <c r="L278"/>
      <c r="M278"/>
      <c r="N278"/>
      <c r="O278"/>
      <c r="P278"/>
      <c r="Q278"/>
      <c r="R278"/>
      <c r="S278"/>
      <c r="T278"/>
      <c r="U278"/>
      <c r="V278"/>
      <c r="W278"/>
      <c r="X278"/>
      <c r="Y278"/>
      <c r="Z278"/>
      <c r="AA278"/>
      <c r="AC278"/>
      <c r="AD278"/>
      <c r="AE278"/>
      <c r="AF278"/>
      <c r="AG278"/>
      <c r="AH278"/>
      <c r="AI278"/>
    </row>
    <row r="279" spans="3:35">
      <c r="C279" s="381" t="s">
        <v>47</v>
      </c>
      <c r="D279" s="379">
        <v>62</v>
      </c>
      <c r="E279" s="380">
        <v>35080</v>
      </c>
      <c r="F279" s="927">
        <v>500</v>
      </c>
      <c r="G279" s="380" t="s">
        <v>501</v>
      </c>
      <c r="I279"/>
      <c r="J279"/>
      <c r="K279"/>
      <c r="L279"/>
      <c r="M279"/>
      <c r="N279"/>
      <c r="O279"/>
      <c r="P279"/>
      <c r="Q279"/>
      <c r="R279"/>
      <c r="S279"/>
      <c r="T279"/>
      <c r="U279"/>
      <c r="V279"/>
      <c r="W279"/>
      <c r="X279"/>
      <c r="Y279"/>
      <c r="Z279"/>
      <c r="AA279"/>
      <c r="AC279"/>
      <c r="AD279"/>
      <c r="AE279"/>
      <c r="AF279"/>
      <c r="AG279"/>
      <c r="AH279"/>
      <c r="AI279"/>
    </row>
    <row r="280" spans="3:35">
      <c r="C280" s="381" t="s">
        <v>27</v>
      </c>
      <c r="D280" s="379">
        <v>60</v>
      </c>
      <c r="E280" s="380">
        <v>32920</v>
      </c>
      <c r="F280" s="927">
        <v>400</v>
      </c>
      <c r="G280" s="380" t="s">
        <v>502</v>
      </c>
      <c r="I280"/>
      <c r="J280"/>
      <c r="K280"/>
      <c r="L280"/>
      <c r="M280"/>
      <c r="N280"/>
      <c r="O280"/>
      <c r="P280"/>
      <c r="Q280"/>
      <c r="R280"/>
      <c r="S280"/>
      <c r="T280"/>
      <c r="U280"/>
      <c r="V280"/>
      <c r="W280"/>
      <c r="X280"/>
      <c r="Y280"/>
      <c r="Z280"/>
      <c r="AA280"/>
      <c r="AC280"/>
      <c r="AD280"/>
      <c r="AE280"/>
      <c r="AF280"/>
      <c r="AG280"/>
      <c r="AH280"/>
      <c r="AI280"/>
    </row>
    <row r="281" spans="3:35">
      <c r="C281" s="381" t="s">
        <v>27</v>
      </c>
      <c r="D281" s="379">
        <v>54</v>
      </c>
      <c r="E281" s="380">
        <v>14320</v>
      </c>
      <c r="F281" s="927">
        <v>500</v>
      </c>
      <c r="G281" s="380" t="s">
        <v>505</v>
      </c>
      <c r="I281"/>
      <c r="J281"/>
      <c r="K281"/>
      <c r="L281"/>
      <c r="M281"/>
      <c r="N281"/>
      <c r="O281"/>
      <c r="P281"/>
      <c r="Q281"/>
      <c r="R281"/>
      <c r="S281"/>
      <c r="T281"/>
      <c r="U281"/>
      <c r="V281"/>
      <c r="W281"/>
      <c r="X281"/>
      <c r="Y281"/>
      <c r="Z281"/>
      <c r="AA281"/>
      <c r="AC281"/>
      <c r="AD281"/>
      <c r="AE281"/>
      <c r="AF281"/>
      <c r="AG281"/>
      <c r="AH281"/>
      <c r="AI281"/>
    </row>
    <row r="282" spans="3:35">
      <c r="C282" s="381" t="s">
        <v>27</v>
      </c>
      <c r="D282" s="379">
        <v>56</v>
      </c>
      <c r="E282" s="380">
        <v>53800</v>
      </c>
      <c r="F282" s="927">
        <v>200</v>
      </c>
      <c r="G282" s="380" t="s">
        <v>501</v>
      </c>
      <c r="I282"/>
      <c r="J282"/>
      <c r="K282"/>
      <c r="L282"/>
      <c r="M282"/>
      <c r="N282"/>
      <c r="O282"/>
      <c r="P282"/>
      <c r="Q282"/>
      <c r="R282"/>
      <c r="S282"/>
      <c r="T282"/>
      <c r="U282"/>
      <c r="V282"/>
      <c r="W282"/>
      <c r="X282"/>
      <c r="Y282"/>
      <c r="Z282"/>
      <c r="AA282"/>
      <c r="AC282"/>
      <c r="AD282"/>
      <c r="AE282"/>
      <c r="AF282"/>
      <c r="AG282"/>
      <c r="AH282"/>
      <c r="AI282"/>
    </row>
    <row r="283" spans="3:35">
      <c r="C283" s="381" t="s">
        <v>47</v>
      </c>
      <c r="D283" s="379">
        <v>59</v>
      </c>
      <c r="E283" s="380">
        <v>12400</v>
      </c>
      <c r="F283" s="927">
        <v>700</v>
      </c>
      <c r="G283" s="380" t="s">
        <v>505</v>
      </c>
      <c r="I283"/>
      <c r="J283"/>
      <c r="K283"/>
      <c r="L283"/>
      <c r="M283"/>
      <c r="N283"/>
      <c r="O283"/>
      <c r="P283"/>
      <c r="Q283"/>
      <c r="R283"/>
      <c r="S283"/>
      <c r="T283"/>
      <c r="U283"/>
      <c r="V283"/>
      <c r="W283"/>
      <c r="X283"/>
      <c r="Y283"/>
      <c r="Z283"/>
      <c r="AA283"/>
      <c r="AC283"/>
      <c r="AD283"/>
      <c r="AE283"/>
      <c r="AF283"/>
      <c r="AG283"/>
      <c r="AH283"/>
      <c r="AI283"/>
    </row>
    <row r="284" spans="3:35">
      <c r="C284" s="381" t="s">
        <v>27</v>
      </c>
      <c r="D284" s="379">
        <v>54</v>
      </c>
      <c r="E284" s="380">
        <v>63400</v>
      </c>
      <c r="F284" s="927">
        <v>300</v>
      </c>
      <c r="G284" s="380" t="s">
        <v>501</v>
      </c>
      <c r="I284"/>
      <c r="J284"/>
      <c r="K284"/>
      <c r="L284"/>
      <c r="M284"/>
      <c r="N284"/>
      <c r="O284"/>
      <c r="P284"/>
      <c r="Q284"/>
      <c r="R284"/>
      <c r="S284"/>
      <c r="T284"/>
      <c r="U284"/>
      <c r="V284"/>
      <c r="W284"/>
      <c r="X284"/>
      <c r="Y284"/>
      <c r="Z284"/>
      <c r="AA284"/>
      <c r="AC284"/>
      <c r="AD284"/>
      <c r="AE284"/>
      <c r="AF284"/>
      <c r="AG284"/>
      <c r="AH284"/>
      <c r="AI284"/>
    </row>
    <row r="285" spans="3:35">
      <c r="C285" s="381" t="s">
        <v>27</v>
      </c>
      <c r="D285" s="379">
        <v>59</v>
      </c>
      <c r="E285" s="380">
        <v>37240</v>
      </c>
      <c r="F285" s="927">
        <v>300</v>
      </c>
      <c r="G285" s="380" t="s">
        <v>501</v>
      </c>
      <c r="I285"/>
      <c r="J285"/>
      <c r="K285"/>
      <c r="L285"/>
      <c r="M285"/>
      <c r="N285"/>
      <c r="O285"/>
      <c r="P285"/>
      <c r="Q285"/>
      <c r="R285"/>
      <c r="S285"/>
      <c r="T285"/>
      <c r="U285"/>
      <c r="V285"/>
      <c r="W285"/>
      <c r="X285"/>
      <c r="Y285"/>
      <c r="Z285"/>
      <c r="AA285"/>
      <c r="AC285"/>
      <c r="AD285"/>
      <c r="AE285"/>
      <c r="AF285"/>
      <c r="AG285"/>
      <c r="AH285"/>
      <c r="AI285"/>
    </row>
    <row r="286" spans="3:35">
      <c r="C286" s="381" t="s">
        <v>47</v>
      </c>
      <c r="D286" s="379">
        <v>58</v>
      </c>
      <c r="E286" s="380">
        <v>31840</v>
      </c>
      <c r="F286" s="927">
        <v>500</v>
      </c>
      <c r="G286" s="380" t="s">
        <v>505</v>
      </c>
      <c r="I286"/>
      <c r="J286"/>
      <c r="K286"/>
      <c r="L286"/>
      <c r="M286"/>
      <c r="N286"/>
      <c r="O286"/>
      <c r="P286"/>
      <c r="Q286"/>
      <c r="R286"/>
      <c r="S286"/>
      <c r="T286"/>
      <c r="U286"/>
      <c r="V286"/>
      <c r="W286"/>
      <c r="X286"/>
      <c r="Y286"/>
      <c r="Z286"/>
      <c r="AA286"/>
      <c r="AC286"/>
      <c r="AD286"/>
      <c r="AE286"/>
      <c r="AF286"/>
      <c r="AG286"/>
      <c r="AH286"/>
      <c r="AI286"/>
    </row>
    <row r="287" spans="3:35">
      <c r="C287" s="381" t="s">
        <v>27</v>
      </c>
      <c r="D287" s="379">
        <v>55</v>
      </c>
      <c r="E287" s="380">
        <v>10720</v>
      </c>
      <c r="F287" s="927">
        <v>500</v>
      </c>
      <c r="G287" s="380" t="s">
        <v>505</v>
      </c>
      <c r="I287"/>
      <c r="J287"/>
      <c r="K287"/>
      <c r="L287"/>
      <c r="M287"/>
      <c r="N287"/>
      <c r="O287"/>
      <c r="P287"/>
      <c r="Q287"/>
      <c r="R287"/>
      <c r="S287"/>
      <c r="T287"/>
      <c r="U287"/>
      <c r="V287"/>
      <c r="W287"/>
      <c r="X287"/>
      <c r="Y287"/>
      <c r="Z287"/>
      <c r="AA287"/>
      <c r="AC287"/>
      <c r="AD287"/>
      <c r="AE287"/>
      <c r="AF287"/>
      <c r="AG287"/>
      <c r="AH287"/>
      <c r="AI287"/>
    </row>
    <row r="288" spans="3:35">
      <c r="C288" s="381" t="s">
        <v>27</v>
      </c>
      <c r="D288" s="379">
        <v>59</v>
      </c>
      <c r="E288" s="380">
        <v>26800</v>
      </c>
      <c r="F288" s="927">
        <v>200</v>
      </c>
      <c r="G288" s="380" t="s">
        <v>501</v>
      </c>
      <c r="I288"/>
      <c r="J288"/>
      <c r="K288"/>
      <c r="L288"/>
      <c r="M288"/>
      <c r="N288"/>
      <c r="O288"/>
      <c r="P288"/>
      <c r="Q288"/>
      <c r="R288"/>
      <c r="S288"/>
      <c r="T288"/>
      <c r="U288"/>
      <c r="V288"/>
      <c r="W288"/>
      <c r="X288"/>
      <c r="Y288"/>
      <c r="Z288"/>
      <c r="AA288"/>
      <c r="AC288"/>
      <c r="AD288"/>
      <c r="AE288"/>
      <c r="AF288"/>
      <c r="AG288"/>
      <c r="AH288"/>
      <c r="AI288"/>
    </row>
    <row r="289" spans="3:35">
      <c r="C289" s="381" t="s">
        <v>27</v>
      </c>
      <c r="D289" s="379">
        <v>53</v>
      </c>
      <c r="E289" s="380">
        <v>47200</v>
      </c>
      <c r="F289" s="927">
        <v>500</v>
      </c>
      <c r="G289" s="380" t="s">
        <v>504</v>
      </c>
      <c r="I289"/>
      <c r="J289"/>
      <c r="K289"/>
      <c r="L289"/>
      <c r="M289"/>
      <c r="N289"/>
      <c r="O289"/>
      <c r="P289"/>
      <c r="Q289"/>
      <c r="R289"/>
      <c r="S289"/>
      <c r="T289"/>
      <c r="U289"/>
      <c r="V289"/>
      <c r="W289"/>
      <c r="X289"/>
      <c r="Y289"/>
      <c r="Z289"/>
      <c r="AA289"/>
      <c r="AC289"/>
      <c r="AD289"/>
      <c r="AE289"/>
      <c r="AF289"/>
      <c r="AG289"/>
      <c r="AH289"/>
      <c r="AI289"/>
    </row>
    <row r="290" spans="3:35">
      <c r="C290" s="381" t="s">
        <v>27</v>
      </c>
      <c r="D290" s="379">
        <v>60</v>
      </c>
      <c r="E290" s="380">
        <v>36880</v>
      </c>
      <c r="F290" s="927">
        <v>400</v>
      </c>
      <c r="G290" s="380" t="s">
        <v>501</v>
      </c>
      <c r="I290"/>
      <c r="J290"/>
      <c r="K290"/>
      <c r="L290"/>
      <c r="M290"/>
      <c r="N290"/>
      <c r="O290"/>
      <c r="P290"/>
      <c r="Q290"/>
      <c r="R290"/>
      <c r="S290"/>
      <c r="T290"/>
      <c r="U290"/>
      <c r="V290"/>
      <c r="W290"/>
      <c r="X290"/>
      <c r="Y290"/>
      <c r="Z290"/>
      <c r="AA290"/>
      <c r="AC290"/>
      <c r="AD290"/>
      <c r="AE290"/>
      <c r="AF290"/>
      <c r="AG290"/>
      <c r="AH290"/>
      <c r="AI290"/>
    </row>
    <row r="291" spans="3:35">
      <c r="C291" s="381" t="s">
        <v>27</v>
      </c>
      <c r="D291" s="379">
        <v>51</v>
      </c>
      <c r="E291" s="380">
        <v>64000</v>
      </c>
      <c r="F291" s="927">
        <v>300</v>
      </c>
      <c r="G291" s="380" t="s">
        <v>501</v>
      </c>
      <c r="I291"/>
      <c r="J291"/>
      <c r="K291"/>
      <c r="L291"/>
      <c r="M291"/>
      <c r="N291"/>
      <c r="O291"/>
      <c r="P291"/>
      <c r="Q291"/>
      <c r="R291"/>
      <c r="S291"/>
      <c r="T291"/>
      <c r="U291"/>
      <c r="V291"/>
      <c r="W291"/>
      <c r="X291"/>
      <c r="Y291"/>
      <c r="Z291"/>
      <c r="AA291"/>
      <c r="AC291"/>
      <c r="AD291"/>
      <c r="AE291"/>
      <c r="AF291"/>
      <c r="AG291"/>
      <c r="AH291"/>
      <c r="AI291"/>
    </row>
    <row r="292" spans="3:35">
      <c r="C292" s="381" t="s">
        <v>47</v>
      </c>
      <c r="D292" s="379">
        <v>53</v>
      </c>
      <c r="E292" s="380">
        <v>25720</v>
      </c>
      <c r="F292" s="927">
        <v>400</v>
      </c>
      <c r="G292" s="380" t="s">
        <v>501</v>
      </c>
      <c r="I292"/>
      <c r="J292"/>
      <c r="K292"/>
      <c r="L292"/>
      <c r="M292"/>
      <c r="N292"/>
      <c r="O292"/>
      <c r="P292"/>
      <c r="Q292"/>
      <c r="R292"/>
      <c r="S292"/>
      <c r="T292"/>
      <c r="U292"/>
      <c r="V292"/>
      <c r="W292"/>
      <c r="X292"/>
      <c r="Y292"/>
      <c r="Z292"/>
      <c r="AA292"/>
      <c r="AC292"/>
      <c r="AD292"/>
      <c r="AE292"/>
      <c r="AF292"/>
      <c r="AG292"/>
      <c r="AH292"/>
      <c r="AI292"/>
    </row>
    <row r="293" spans="3:35">
      <c r="C293" s="381" t="s">
        <v>27</v>
      </c>
      <c r="D293" s="379">
        <v>49</v>
      </c>
      <c r="E293" s="380">
        <v>11200</v>
      </c>
      <c r="F293" s="927">
        <v>500</v>
      </c>
      <c r="G293" s="380" t="s">
        <v>501</v>
      </c>
      <c r="I293"/>
      <c r="J293"/>
      <c r="K293"/>
      <c r="L293"/>
      <c r="M293"/>
      <c r="N293"/>
      <c r="O293"/>
      <c r="P293"/>
      <c r="Q293"/>
      <c r="R293"/>
      <c r="S293"/>
      <c r="T293"/>
      <c r="U293"/>
      <c r="V293"/>
      <c r="W293"/>
      <c r="X293"/>
      <c r="Y293"/>
      <c r="Z293"/>
      <c r="AA293"/>
      <c r="AC293"/>
      <c r="AD293"/>
      <c r="AE293"/>
      <c r="AF293"/>
      <c r="AG293"/>
      <c r="AH293"/>
      <c r="AI293"/>
    </row>
    <row r="294" spans="3:35">
      <c r="C294" s="381" t="s">
        <v>27</v>
      </c>
      <c r="D294" s="379">
        <v>50</v>
      </c>
      <c r="E294" s="380">
        <v>16720</v>
      </c>
      <c r="F294" s="927">
        <v>400</v>
      </c>
      <c r="G294" s="380" t="s">
        <v>502</v>
      </c>
      <c r="I294"/>
      <c r="J294"/>
      <c r="K294"/>
      <c r="L294"/>
      <c r="M294"/>
      <c r="N294"/>
      <c r="O294"/>
      <c r="P294"/>
      <c r="Q294"/>
      <c r="R294"/>
      <c r="S294"/>
      <c r="T294"/>
      <c r="U294"/>
      <c r="V294"/>
      <c r="W294"/>
      <c r="X294"/>
      <c r="Y294"/>
      <c r="Z294"/>
      <c r="AA294"/>
      <c r="AC294"/>
      <c r="AD294"/>
      <c r="AE294"/>
      <c r="AF294"/>
      <c r="AG294"/>
      <c r="AH294"/>
      <c r="AI294"/>
    </row>
    <row r="295" spans="3:35">
      <c r="C295" s="381" t="s">
        <v>27</v>
      </c>
      <c r="D295" s="379">
        <v>47</v>
      </c>
      <c r="E295" s="380">
        <v>35440</v>
      </c>
      <c r="F295" s="927">
        <v>500</v>
      </c>
      <c r="G295" s="380" t="s">
        <v>505</v>
      </c>
      <c r="I295"/>
      <c r="J295"/>
      <c r="K295"/>
      <c r="L295"/>
      <c r="M295"/>
      <c r="N295"/>
      <c r="O295"/>
      <c r="P295"/>
      <c r="Q295"/>
      <c r="R295"/>
      <c r="S295"/>
      <c r="T295"/>
      <c r="U295"/>
      <c r="V295"/>
      <c r="W295"/>
      <c r="X295"/>
      <c r="Y295"/>
      <c r="Z295"/>
      <c r="AA295"/>
      <c r="AC295"/>
      <c r="AD295"/>
      <c r="AE295"/>
      <c r="AF295"/>
      <c r="AG295"/>
      <c r="AH295"/>
      <c r="AI295"/>
    </row>
    <row r="296" spans="3:35">
      <c r="C296" s="381" t="s">
        <v>47</v>
      </c>
      <c r="D296" s="379">
        <v>58</v>
      </c>
      <c r="E296" s="380">
        <v>10960</v>
      </c>
      <c r="F296" s="927">
        <v>200</v>
      </c>
      <c r="G296" s="380" t="s">
        <v>501</v>
      </c>
      <c r="I296"/>
      <c r="J296"/>
      <c r="K296"/>
      <c r="L296"/>
      <c r="M296"/>
      <c r="N296"/>
      <c r="O296"/>
      <c r="P296"/>
      <c r="Q296"/>
      <c r="R296"/>
      <c r="S296"/>
      <c r="T296"/>
      <c r="U296"/>
      <c r="V296"/>
      <c r="W296"/>
      <c r="X296"/>
      <c r="Y296"/>
      <c r="Z296"/>
      <c r="AA296"/>
      <c r="AC296"/>
      <c r="AD296"/>
      <c r="AE296"/>
      <c r="AF296"/>
      <c r="AG296"/>
      <c r="AH296"/>
      <c r="AI296"/>
    </row>
    <row r="297" spans="3:35">
      <c r="C297" s="381" t="s">
        <v>27</v>
      </c>
      <c r="D297" s="379">
        <v>60</v>
      </c>
      <c r="E297" s="380">
        <v>14800</v>
      </c>
      <c r="F297" s="927">
        <v>700</v>
      </c>
      <c r="G297" s="380" t="s">
        <v>505</v>
      </c>
      <c r="I297"/>
      <c r="J297"/>
      <c r="K297"/>
      <c r="L297"/>
      <c r="M297"/>
      <c r="N297"/>
      <c r="O297"/>
      <c r="P297"/>
      <c r="Q297"/>
      <c r="R297"/>
      <c r="S297"/>
      <c r="T297"/>
      <c r="U297"/>
      <c r="V297"/>
      <c r="W297"/>
      <c r="X297"/>
      <c r="Y297"/>
      <c r="Z297"/>
      <c r="AA297"/>
      <c r="AC297"/>
      <c r="AD297"/>
      <c r="AE297"/>
      <c r="AF297"/>
      <c r="AG297"/>
      <c r="AH297"/>
      <c r="AI297"/>
    </row>
    <row r="298" spans="3:35">
      <c r="C298" s="381" t="s">
        <v>47</v>
      </c>
      <c r="D298" s="379">
        <v>60</v>
      </c>
      <c r="E298" s="380">
        <v>22000</v>
      </c>
      <c r="F298" s="927">
        <v>500</v>
      </c>
      <c r="G298" s="380" t="s">
        <v>505</v>
      </c>
      <c r="I298"/>
      <c r="J298"/>
      <c r="K298"/>
      <c r="L298"/>
      <c r="M298"/>
      <c r="N298"/>
      <c r="O298"/>
      <c r="P298"/>
      <c r="Q298"/>
      <c r="R298"/>
      <c r="S298"/>
      <c r="T298"/>
      <c r="U298"/>
      <c r="V298"/>
      <c r="W298"/>
      <c r="X298"/>
      <c r="Y298"/>
      <c r="Z298"/>
      <c r="AA298"/>
      <c r="AC298"/>
      <c r="AD298"/>
      <c r="AE298"/>
      <c r="AF298"/>
      <c r="AG298"/>
      <c r="AH298"/>
      <c r="AI298"/>
    </row>
    <row r="299" spans="3:35">
      <c r="C299" s="381" t="s">
        <v>47</v>
      </c>
      <c r="D299" s="379">
        <v>53</v>
      </c>
      <c r="E299" s="380">
        <v>51280</v>
      </c>
      <c r="F299" s="927">
        <v>300</v>
      </c>
      <c r="G299" s="380" t="s">
        <v>501</v>
      </c>
      <c r="I299"/>
      <c r="J299"/>
      <c r="K299"/>
      <c r="L299"/>
      <c r="M299"/>
      <c r="N299"/>
      <c r="O299"/>
      <c r="P299"/>
      <c r="Q299"/>
      <c r="R299"/>
      <c r="S299"/>
      <c r="T299"/>
      <c r="U299"/>
      <c r="V299"/>
      <c r="W299"/>
      <c r="X299"/>
      <c r="Y299"/>
      <c r="Z299"/>
      <c r="AA299"/>
      <c r="AC299"/>
      <c r="AD299"/>
      <c r="AE299"/>
      <c r="AF299"/>
      <c r="AG299"/>
      <c r="AH299"/>
      <c r="AI299"/>
    </row>
    <row r="300" spans="3:35">
      <c r="C300" s="381" t="s">
        <v>27</v>
      </c>
      <c r="D300" s="379">
        <v>45</v>
      </c>
      <c r="E300" s="380">
        <v>24280</v>
      </c>
      <c r="F300" s="927">
        <v>300</v>
      </c>
      <c r="G300" s="380" t="s">
        <v>501</v>
      </c>
      <c r="I300"/>
      <c r="J300"/>
      <c r="K300"/>
      <c r="L300"/>
      <c r="M300"/>
      <c r="N300"/>
      <c r="O300"/>
      <c r="P300"/>
      <c r="Q300"/>
      <c r="R300"/>
      <c r="S300"/>
      <c r="T300"/>
      <c r="U300"/>
      <c r="V300"/>
      <c r="W300"/>
      <c r="X300"/>
      <c r="Y300"/>
      <c r="Z300"/>
      <c r="AA300"/>
      <c r="AC300"/>
      <c r="AD300"/>
      <c r="AE300"/>
      <c r="AF300"/>
      <c r="AG300"/>
      <c r="AH300"/>
      <c r="AI300"/>
    </row>
    <row r="301" spans="3:35">
      <c r="C301" s="381" t="s">
        <v>27</v>
      </c>
      <c r="D301" s="379">
        <v>53</v>
      </c>
      <c r="E301" s="380">
        <v>10960</v>
      </c>
      <c r="F301" s="927">
        <v>500</v>
      </c>
      <c r="G301" s="380" t="s">
        <v>504</v>
      </c>
      <c r="I301"/>
      <c r="J301"/>
      <c r="K301"/>
      <c r="L301"/>
      <c r="M301"/>
      <c r="N301"/>
      <c r="O301"/>
      <c r="P301"/>
      <c r="Q301"/>
      <c r="R301"/>
      <c r="S301"/>
      <c r="T301"/>
      <c r="U301"/>
      <c r="V301"/>
      <c r="W301"/>
      <c r="X301"/>
      <c r="Y301"/>
      <c r="Z301"/>
      <c r="AA301"/>
      <c r="AC301"/>
      <c r="AD301"/>
      <c r="AE301"/>
      <c r="AF301"/>
      <c r="AG301"/>
      <c r="AH301"/>
      <c r="AI301"/>
    </row>
    <row r="302" spans="3:35">
      <c r="C302" s="381" t="s">
        <v>27</v>
      </c>
      <c r="D302" s="379">
        <v>43</v>
      </c>
      <c r="E302" s="380">
        <v>41800</v>
      </c>
      <c r="F302" s="927">
        <v>200</v>
      </c>
      <c r="G302" s="380" t="s">
        <v>505</v>
      </c>
      <c r="I302"/>
      <c r="J302"/>
      <c r="K302"/>
      <c r="L302"/>
      <c r="M302"/>
      <c r="N302"/>
      <c r="O302"/>
      <c r="P302"/>
      <c r="Q302"/>
      <c r="R302"/>
      <c r="S302"/>
      <c r="T302"/>
      <c r="U302"/>
      <c r="V302"/>
      <c r="W302"/>
      <c r="X302"/>
      <c r="Y302"/>
      <c r="Z302"/>
      <c r="AA302"/>
      <c r="AC302"/>
      <c r="AD302"/>
      <c r="AE302"/>
      <c r="AF302"/>
      <c r="AG302"/>
      <c r="AH302"/>
      <c r="AI302"/>
    </row>
    <row r="303" spans="3:35">
      <c r="C303" s="381" t="s">
        <v>27</v>
      </c>
      <c r="D303" s="379">
        <v>58</v>
      </c>
      <c r="E303" s="380">
        <v>21760</v>
      </c>
      <c r="F303" s="927">
        <v>500</v>
      </c>
      <c r="G303" s="380" t="s">
        <v>501</v>
      </c>
      <c r="I303"/>
      <c r="J303"/>
      <c r="K303"/>
      <c r="L303"/>
      <c r="M303"/>
      <c r="N303"/>
      <c r="O303"/>
      <c r="P303"/>
      <c r="Q303"/>
      <c r="R303"/>
      <c r="S303"/>
      <c r="T303"/>
      <c r="U303"/>
      <c r="V303"/>
      <c r="W303"/>
      <c r="X303"/>
      <c r="Y303"/>
      <c r="Z303"/>
      <c r="AA303"/>
      <c r="AC303"/>
      <c r="AD303"/>
      <c r="AE303"/>
      <c r="AF303"/>
      <c r="AG303"/>
      <c r="AH303"/>
      <c r="AI303"/>
    </row>
    <row r="304" spans="3:35">
      <c r="C304" s="381" t="s">
        <v>27</v>
      </c>
      <c r="D304" s="379">
        <v>54</v>
      </c>
      <c r="E304" s="380">
        <v>24280</v>
      </c>
      <c r="F304" s="927">
        <v>500</v>
      </c>
      <c r="G304" s="380" t="s">
        <v>502</v>
      </c>
      <c r="I304"/>
      <c r="J304"/>
      <c r="K304"/>
      <c r="L304"/>
      <c r="M304"/>
      <c r="N304"/>
      <c r="O304"/>
      <c r="P304"/>
      <c r="Q304"/>
      <c r="R304"/>
      <c r="S304"/>
      <c r="T304"/>
      <c r="U304"/>
      <c r="V304"/>
      <c r="W304"/>
      <c r="X304"/>
      <c r="Y304"/>
      <c r="Z304"/>
      <c r="AA304"/>
      <c r="AC304"/>
      <c r="AD304"/>
      <c r="AE304"/>
      <c r="AF304"/>
      <c r="AG304"/>
      <c r="AH304"/>
      <c r="AI304"/>
    </row>
    <row r="305" spans="3:35">
      <c r="C305" s="381" t="s">
        <v>27</v>
      </c>
      <c r="D305" s="379">
        <v>40</v>
      </c>
      <c r="E305" s="380">
        <v>36400</v>
      </c>
      <c r="F305" s="927">
        <v>500</v>
      </c>
      <c r="G305" s="380" t="s">
        <v>505</v>
      </c>
      <c r="I305"/>
      <c r="J305"/>
      <c r="K305"/>
      <c r="L305"/>
      <c r="M305"/>
      <c r="N305"/>
      <c r="O305"/>
      <c r="P305"/>
      <c r="Q305"/>
      <c r="R305"/>
      <c r="S305"/>
      <c r="T305"/>
      <c r="U305"/>
      <c r="V305"/>
      <c r="W305"/>
      <c r="X305"/>
      <c r="Y305"/>
      <c r="Z305"/>
      <c r="AA305"/>
      <c r="AC305"/>
      <c r="AD305"/>
      <c r="AE305"/>
      <c r="AF305"/>
      <c r="AG305"/>
      <c r="AH305"/>
      <c r="AI305"/>
    </row>
    <row r="306" spans="3:35">
      <c r="C306" s="381" t="s">
        <v>27</v>
      </c>
      <c r="D306" s="379">
        <v>39</v>
      </c>
      <c r="E306" s="380">
        <v>49840</v>
      </c>
      <c r="F306" s="927">
        <v>200</v>
      </c>
      <c r="G306" s="380" t="s">
        <v>501</v>
      </c>
      <c r="I306"/>
      <c r="J306"/>
      <c r="K306"/>
      <c r="L306"/>
      <c r="M306"/>
      <c r="N306"/>
      <c r="O306"/>
      <c r="P306"/>
      <c r="Q306"/>
      <c r="R306"/>
      <c r="S306"/>
      <c r="T306"/>
      <c r="U306"/>
      <c r="V306"/>
      <c r="W306"/>
      <c r="X306"/>
      <c r="Y306"/>
      <c r="Z306"/>
      <c r="AA306"/>
      <c r="AC306"/>
      <c r="AD306"/>
      <c r="AE306"/>
      <c r="AF306"/>
      <c r="AG306"/>
      <c r="AH306"/>
      <c r="AI306"/>
    </row>
    <row r="307" spans="3:35">
      <c r="C307" s="381" t="s">
        <v>27</v>
      </c>
      <c r="D307" s="379">
        <v>37</v>
      </c>
      <c r="E307" s="380">
        <v>23440</v>
      </c>
      <c r="F307" s="927">
        <v>300</v>
      </c>
      <c r="G307" s="380" t="s">
        <v>504</v>
      </c>
      <c r="I307"/>
      <c r="J307"/>
      <c r="K307"/>
      <c r="L307"/>
      <c r="M307"/>
      <c r="N307"/>
      <c r="O307"/>
      <c r="P307"/>
      <c r="Q307"/>
      <c r="R307"/>
      <c r="S307"/>
      <c r="T307"/>
      <c r="U307"/>
      <c r="V307"/>
      <c r="W307"/>
      <c r="X307"/>
      <c r="Y307"/>
      <c r="Z307"/>
      <c r="AA307"/>
      <c r="AC307"/>
      <c r="AD307"/>
      <c r="AE307"/>
      <c r="AF307"/>
      <c r="AG307"/>
      <c r="AH307"/>
      <c r="AI307"/>
    </row>
    <row r="308" spans="3:35">
      <c r="C308" s="381" t="s">
        <v>27</v>
      </c>
      <c r="D308" s="379">
        <v>51</v>
      </c>
      <c r="E308" s="380">
        <v>43000</v>
      </c>
      <c r="F308" s="927">
        <v>400</v>
      </c>
      <c r="G308" s="380" t="s">
        <v>501</v>
      </c>
      <c r="I308"/>
      <c r="J308"/>
      <c r="K308"/>
      <c r="L308"/>
      <c r="M308"/>
      <c r="N308"/>
      <c r="O308"/>
      <c r="P308"/>
      <c r="Q308"/>
      <c r="R308"/>
      <c r="S308"/>
      <c r="T308"/>
      <c r="U308"/>
      <c r="V308"/>
      <c r="W308"/>
      <c r="X308"/>
      <c r="Y308"/>
      <c r="Z308"/>
      <c r="AA308"/>
      <c r="AC308"/>
      <c r="AD308"/>
      <c r="AE308"/>
      <c r="AF308"/>
      <c r="AG308"/>
      <c r="AH308"/>
      <c r="AI308"/>
    </row>
    <row r="309" spans="3:35">
      <c r="C309" s="381"/>
      <c r="D309" s="981"/>
      <c r="E309" s="982"/>
      <c r="F309" s="983"/>
      <c r="G309" s="982"/>
      <c r="I309"/>
      <c r="J309"/>
      <c r="K309"/>
      <c r="L309"/>
      <c r="M309"/>
      <c r="N309"/>
      <c r="O309"/>
      <c r="P309"/>
      <c r="Q309"/>
      <c r="R309"/>
      <c r="S309"/>
      <c r="T309"/>
      <c r="U309"/>
      <c r="V309"/>
      <c r="W309"/>
      <c r="X309"/>
      <c r="Y309"/>
      <c r="Z309"/>
      <c r="AA309"/>
      <c r="AC309"/>
      <c r="AD309"/>
      <c r="AE309"/>
      <c r="AF309"/>
      <c r="AG309"/>
      <c r="AH309"/>
      <c r="AI309"/>
    </row>
    <row r="310" spans="3:35" ht="37" customHeight="1">
      <c r="D310"/>
      <c r="E310"/>
      <c r="F310"/>
      <c r="G310"/>
      <c r="H310"/>
    </row>
    <row r="311" spans="3:35" ht="50" customHeight="1">
      <c r="C311" s="1428" t="s">
        <v>472</v>
      </c>
      <c r="D311" s="1429"/>
      <c r="E311" s="1430" t="s">
        <v>477</v>
      </c>
      <c r="F311" s="1431"/>
      <c r="G311" s="1431"/>
      <c r="H311" s="1431"/>
      <c r="I311" s="1431"/>
      <c r="J311" s="1431"/>
      <c r="K311" s="1431"/>
      <c r="L311" s="1431"/>
      <c r="M311" s="1431"/>
      <c r="N311" s="1431"/>
      <c r="O311" s="1431"/>
      <c r="P311" s="1431"/>
      <c r="Q311" s="1431"/>
      <c r="R311" s="1431"/>
      <c r="S311" s="1431"/>
      <c r="T311" s="1431"/>
      <c r="U311" s="1431"/>
      <c r="V311" s="1431"/>
      <c r="W311" s="1431"/>
      <c r="X311" s="1431"/>
      <c r="Y311" s="1431"/>
      <c r="Z311" s="1431"/>
      <c r="AA311" s="1431"/>
      <c r="AB311" s="1432"/>
      <c r="AC311"/>
    </row>
    <row r="312" spans="3:35" ht="50" customHeight="1">
      <c r="C312" s="1428" t="s">
        <v>473</v>
      </c>
      <c r="D312" s="1429"/>
      <c r="E312" s="1430" t="s">
        <v>478</v>
      </c>
      <c r="F312" s="1431"/>
      <c r="G312" s="1431"/>
      <c r="H312" s="1431"/>
      <c r="I312" s="1431"/>
      <c r="J312" s="1431"/>
      <c r="K312" s="1431"/>
      <c r="L312" s="1431"/>
      <c r="M312" s="1431"/>
      <c r="N312" s="1431"/>
      <c r="O312" s="1431"/>
      <c r="P312" s="1431"/>
      <c r="Q312" s="1431"/>
      <c r="R312" s="1431"/>
      <c r="S312" s="1431"/>
      <c r="T312" s="1431"/>
      <c r="U312" s="1431"/>
      <c r="V312" s="1431"/>
      <c r="W312" s="1431"/>
      <c r="X312" s="1431"/>
      <c r="Y312" s="1431"/>
      <c r="Z312" s="1431"/>
      <c r="AA312" s="1431"/>
      <c r="AB312" s="1432"/>
      <c r="AC312"/>
      <c r="AE312"/>
      <c r="AF312"/>
      <c r="AG312"/>
      <c r="AH312"/>
      <c r="AI312"/>
    </row>
    <row r="313" spans="3:35">
      <c r="D313"/>
      <c r="E313"/>
      <c r="F313"/>
      <c r="G313"/>
      <c r="H313"/>
      <c r="I313"/>
    </row>
    <row r="314" spans="3:35">
      <c r="D314"/>
      <c r="E314"/>
      <c r="F314"/>
      <c r="G314"/>
      <c r="H314"/>
      <c r="I314"/>
    </row>
    <row r="315" spans="3:35">
      <c r="D315"/>
      <c r="E315"/>
      <c r="F315"/>
      <c r="G315"/>
      <c r="H315"/>
      <c r="I315"/>
      <c r="J315"/>
      <c r="K315"/>
      <c r="L315"/>
      <c r="M315"/>
      <c r="N315"/>
      <c r="O315"/>
      <c r="P315"/>
      <c r="Q315"/>
      <c r="R315"/>
      <c r="S315"/>
      <c r="T315"/>
      <c r="U315"/>
      <c r="V315"/>
      <c r="W315"/>
      <c r="X315"/>
      <c r="Y315"/>
      <c r="Z315"/>
      <c r="AA315"/>
      <c r="AC315"/>
      <c r="AD315"/>
      <c r="AE315"/>
      <c r="AF315"/>
      <c r="AG315"/>
      <c r="AH315"/>
      <c r="AI315"/>
    </row>
  </sheetData>
  <mergeCells count="42">
    <mergeCell ref="D49:F49"/>
    <mergeCell ref="G49:AC49"/>
    <mergeCell ref="D11:E11"/>
    <mergeCell ref="Y20:Z20"/>
    <mergeCell ref="AA20:AB20"/>
    <mergeCell ref="AC20:AD20"/>
    <mergeCell ref="D48:F48"/>
    <mergeCell ref="G48:AC48"/>
    <mergeCell ref="D238:F238"/>
    <mergeCell ref="D239:F239"/>
    <mergeCell ref="G238:AB238"/>
    <mergeCell ref="G239:AB239"/>
    <mergeCell ref="C311:D311"/>
    <mergeCell ref="AL199:AR199"/>
    <mergeCell ref="D189:F189"/>
    <mergeCell ref="D192:P192"/>
    <mergeCell ref="D195:O195"/>
    <mergeCell ref="D196:O196"/>
    <mergeCell ref="AH84:AJ84"/>
    <mergeCell ref="C59:W59"/>
    <mergeCell ref="AD84:AF84"/>
    <mergeCell ref="D95:F95"/>
    <mergeCell ref="D87:F87"/>
    <mergeCell ref="G87:AA87"/>
    <mergeCell ref="D88:F88"/>
    <mergeCell ref="G88:AA88"/>
    <mergeCell ref="C312:D312"/>
    <mergeCell ref="E311:AB311"/>
    <mergeCell ref="E312:AB312"/>
    <mergeCell ref="D1:E1"/>
    <mergeCell ref="X1:Y1"/>
    <mergeCell ref="C55:E55"/>
    <mergeCell ref="D182:F182"/>
    <mergeCell ref="D183:F183"/>
    <mergeCell ref="G182:AB182"/>
    <mergeCell ref="G183:AB183"/>
    <mergeCell ref="D138:F138"/>
    <mergeCell ref="D139:F139"/>
    <mergeCell ref="G138:AB138"/>
    <mergeCell ref="G139:AB139"/>
    <mergeCell ref="D148:O148"/>
    <mergeCell ref="D145:F145"/>
  </mergeCells>
  <hyperlinks>
    <hyperlink ref="E7" location="'Sommaire Outil'!A1" display="retour sommaire" xr:uid="{00000000-0004-0000-1600-000000000000}"/>
    <hyperlink ref="D58:H58" location="'INDIC.3 Ecart Tx Promotion'!A1" display="VOIR INDICATEUR 3 - INDEX - ECART DE TAUX DE PROMOTION" xr:uid="{00000000-0004-0000-1600-000001000000}"/>
    <hyperlink ref="X1" location="'Bilan EGALIZ'!A1" display="BILAN EGALIZ" xr:uid="{60585703-54E9-9740-889C-4A138E04A6B0}"/>
    <hyperlink ref="X1:Y1" location="DIAGNOSTIC!A1" display="BILAN EGALIZ" xr:uid="{7A2D2FDC-68F6-B34D-A483-983A6851127A}"/>
    <hyperlink ref="D1" location="'Bilan EGALIZ'!A1" display="BILAN EGALIZ" xr:uid="{7BB6D510-1877-AE47-BFDA-943A76763D80}"/>
    <hyperlink ref="D1:E1" location="SOMMAIRE!A1" display="SOMMAIRE" xr:uid="{F2C69D91-3EF9-4948-9210-605BF0D561A6}"/>
  </hyperlinks>
  <pageMargins left="0.78740157499999996" right="0.78740157499999996" top="0.984251969" bottom="0.984251969" header="0.5" footer="0.5"/>
  <pageSetup paperSize="9" orientation="landscape" horizontalDpi="4294967292" verticalDpi="4294967292"/>
  <headerFooter alignWithMargins="0"/>
  <drawing r:id="rId19"/>
  <extLst>
    <ext xmlns:x14="http://schemas.microsoft.com/office/spreadsheetml/2009/9/main" uri="{A8765BA9-456A-4dab-B4F3-ACF838C121DE}">
      <x14:slicerList>
        <x14:slicer r:id="rId20"/>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rgb="FF941651"/>
  </sheetPr>
  <dimension ref="A1:CD199"/>
  <sheetViews>
    <sheetView showGridLines="0" workbookViewId="0">
      <pane ySplit="14" topLeftCell="A15" activePane="bottomLeft" state="frozen"/>
      <selection pane="bottomLeft" activeCell="D1" sqref="D1:E1"/>
    </sheetView>
  </sheetViews>
  <sheetFormatPr baseColWidth="10" defaultColWidth="11.83203125" defaultRowHeight="13"/>
  <cols>
    <col min="1" max="1" width="10" style="119" customWidth="1"/>
    <col min="2" max="2" width="3.6640625" style="14" customWidth="1"/>
    <col min="3" max="3" width="2.5" style="14" customWidth="1"/>
    <col min="4" max="4" width="45.5" style="14" bestFit="1" customWidth="1"/>
    <col min="5" max="6" width="8.33203125" style="14" bestFit="1" customWidth="1"/>
    <col min="7" max="7" width="12.5" style="14" bestFit="1" customWidth="1"/>
    <col min="8" max="8" width="13" style="14" customWidth="1"/>
    <col min="9" max="9" width="4.83203125" style="14" customWidth="1"/>
    <col min="10" max="10" width="7.5" style="14" customWidth="1"/>
    <col min="11" max="11" width="4" style="14" customWidth="1"/>
    <col min="12" max="12" width="45.5" style="14" bestFit="1" customWidth="1"/>
    <col min="13" max="14" width="8.33203125" style="14" bestFit="1" customWidth="1"/>
    <col min="15" max="15" width="12.5" style="14" bestFit="1" customWidth="1"/>
    <col min="16" max="16" width="7.1640625" style="14" customWidth="1"/>
    <col min="17" max="17" width="6.6640625" style="14" customWidth="1"/>
    <col min="18" max="18" width="5.1640625" style="14" customWidth="1"/>
    <col min="19" max="19" width="12.83203125" style="14" bestFit="1" customWidth="1"/>
    <col min="20" max="21" width="18.83203125" style="14" customWidth="1"/>
    <col min="22" max="22" width="12.83203125" style="14" bestFit="1" customWidth="1"/>
    <col min="23" max="23" width="5.6640625" style="14" customWidth="1"/>
    <col min="24" max="24" width="5.1640625" style="14" customWidth="1"/>
    <col min="25" max="25" width="16.33203125" style="14" customWidth="1"/>
    <col min="26" max="31" width="10.1640625" style="14" customWidth="1"/>
    <col min="32" max="39" width="10.1640625" customWidth="1"/>
    <col min="40" max="47" width="11.83203125" customWidth="1"/>
  </cols>
  <sheetData>
    <row r="1" spans="1:31" s="119" customFormat="1" ht="43" customHeight="1">
      <c r="B1" s="1153"/>
      <c r="C1" s="1153"/>
      <c r="D1" s="1295" t="s">
        <v>980</v>
      </c>
      <c r="E1" s="1295"/>
      <c r="F1" s="1153"/>
      <c r="G1" s="1153"/>
      <c r="H1" s="1153"/>
      <c r="I1" s="1153"/>
      <c r="J1" s="1153"/>
      <c r="K1" s="1153"/>
      <c r="L1" s="1153"/>
      <c r="M1" s="1153"/>
      <c r="N1" s="1286" t="s">
        <v>382</v>
      </c>
      <c r="O1" s="1286"/>
      <c r="P1" s="1153"/>
      <c r="Q1" s="1153"/>
      <c r="R1" s="1153"/>
      <c r="S1" s="1153"/>
      <c r="T1" s="1153"/>
      <c r="U1" s="1153"/>
      <c r="V1" s="1153"/>
      <c r="W1" s="1153"/>
      <c r="X1" s="1153"/>
      <c r="Y1" s="1153"/>
      <c r="Z1" s="1153"/>
      <c r="AA1" s="1153"/>
      <c r="AB1" s="1153"/>
      <c r="AC1" s="1153"/>
      <c r="AD1" s="1153"/>
      <c r="AE1" s="1153"/>
    </row>
    <row r="9" spans="1:31" ht="33" customHeight="1"/>
    <row r="15" spans="1:31" s="119" customFormat="1" ht="67.5" customHeight="1">
      <c r="A15" s="118"/>
    </row>
    <row r="16" spans="1:31">
      <c r="B16" s="3"/>
      <c r="C16" s="3"/>
      <c r="D16"/>
      <c r="E16"/>
      <c r="F16"/>
      <c r="G16"/>
      <c r="H16"/>
      <c r="I16"/>
      <c r="J16"/>
      <c r="K16"/>
      <c r="L16"/>
      <c r="M16"/>
      <c r="N16"/>
      <c r="O16"/>
      <c r="P16"/>
      <c r="Q16"/>
      <c r="R16"/>
      <c r="S16"/>
      <c r="T16"/>
      <c r="U16"/>
      <c r="V16"/>
      <c r="W16"/>
      <c r="X16"/>
      <c r="Y16"/>
      <c r="Z16"/>
      <c r="AA16"/>
      <c r="AB16"/>
      <c r="AC16"/>
      <c r="AD16"/>
      <c r="AE16"/>
    </row>
    <row r="17" spans="1:40" s="8" customFormat="1" ht="20">
      <c r="A17" s="119"/>
      <c r="B17" s="3"/>
      <c r="C17" s="430" t="s">
        <v>81</v>
      </c>
      <c r="D17" s="14"/>
      <c r="E17" s="14"/>
      <c r="F17" s="14"/>
      <c r="G17" s="14"/>
      <c r="H17" s="14"/>
      <c r="I17" s="14"/>
      <c r="J17" s="14"/>
      <c r="K17" s="14"/>
      <c r="L17" s="14"/>
      <c r="M17" s="14"/>
      <c r="N17" s="14"/>
      <c r="O17" s="14"/>
      <c r="P17" s="14"/>
      <c r="Q17" s="14"/>
      <c r="R17" s="14"/>
      <c r="S17"/>
      <c r="T17" s="14"/>
      <c r="U17" s="14"/>
      <c r="V17" s="14"/>
      <c r="X17" s="14"/>
      <c r="Y17" s="14"/>
      <c r="Z17" s="14"/>
      <c r="AA17" s="14"/>
      <c r="AB17" s="14"/>
      <c r="AC17" s="14"/>
      <c r="AD17" s="14"/>
      <c r="AE17" s="14"/>
    </row>
    <row r="18" spans="1:40" s="8" customFormat="1" ht="6" customHeight="1">
      <c r="A18" s="119"/>
      <c r="B18" s="3"/>
      <c r="C18" s="6"/>
      <c r="D18" s="14"/>
      <c r="E18" s="14"/>
      <c r="F18" s="14"/>
      <c r="G18" s="14"/>
      <c r="H18" s="14"/>
      <c r="I18" s="14"/>
      <c r="J18" s="14"/>
      <c r="K18" s="14"/>
      <c r="L18" s="14"/>
      <c r="M18" s="14"/>
      <c r="N18" s="14"/>
      <c r="O18" s="14"/>
      <c r="P18" s="14"/>
      <c r="Q18" s="14"/>
      <c r="R18" s="14"/>
      <c r="S18"/>
      <c r="T18" s="14"/>
      <c r="U18" s="14"/>
      <c r="V18" s="14"/>
      <c r="X18" s="14"/>
      <c r="Y18" s="14"/>
      <c r="Z18" s="14"/>
      <c r="AA18" s="14"/>
      <c r="AB18" s="14"/>
      <c r="AC18" s="14"/>
      <c r="AD18" s="14"/>
      <c r="AE18" s="14"/>
    </row>
    <row r="19" spans="1:40" s="8" customFormat="1">
      <c r="A19" s="119"/>
      <c r="B19" s="3"/>
      <c r="C19" s="1449" t="s">
        <v>97</v>
      </c>
      <c r="D19" s="1449"/>
      <c r="E19" s="1449"/>
      <c r="F19" s="14"/>
      <c r="G19" s="14"/>
      <c r="H19" s="14"/>
      <c r="I19" s="14"/>
      <c r="J19" s="14"/>
      <c r="K19" s="14"/>
      <c r="L19" s="14"/>
      <c r="M19" s="14"/>
      <c r="N19" s="14"/>
      <c r="O19" s="14"/>
      <c r="P19" s="14"/>
      <c r="Q19" s="14"/>
      <c r="R19" s="14"/>
      <c r="S19"/>
      <c r="T19" s="14"/>
      <c r="U19" s="14"/>
      <c r="V19" s="14"/>
      <c r="X19" s="14"/>
      <c r="Y19" s="14"/>
      <c r="Z19" s="14"/>
      <c r="AA19" s="14"/>
      <c r="AB19" s="14"/>
      <c r="AC19" s="14"/>
      <c r="AD19" s="14"/>
      <c r="AE19" s="14"/>
    </row>
    <row r="20" spans="1:40" s="8" customFormat="1">
      <c r="A20" s="119"/>
      <c r="B20" s="3"/>
      <c r="C20" s="6" t="s">
        <v>193</v>
      </c>
      <c r="D20" s="14"/>
      <c r="E20" s="14"/>
      <c r="F20" s="14"/>
      <c r="G20" s="14"/>
      <c r="H20" s="14"/>
      <c r="I20" s="14"/>
      <c r="J20" s="14"/>
      <c r="K20" s="14"/>
      <c r="L20" s="14"/>
      <c r="M20" s="14"/>
      <c r="N20" s="14"/>
      <c r="O20" s="14"/>
      <c r="P20" s="14"/>
      <c r="Q20" s="14"/>
      <c r="R20" s="14"/>
      <c r="S20" s="14"/>
      <c r="T20" s="14"/>
      <c r="U20" s="14"/>
      <c r="V20" s="14"/>
      <c r="X20" s="14"/>
      <c r="Y20" s="14"/>
      <c r="Z20" s="14"/>
      <c r="AA20" s="14"/>
      <c r="AB20" s="14"/>
      <c r="AC20" s="14"/>
      <c r="AD20" s="14"/>
      <c r="AE20" s="14"/>
    </row>
    <row r="21" spans="1:40" s="8" customFormat="1">
      <c r="A21" s="119"/>
      <c r="B21" s="3"/>
      <c r="C21" s="6"/>
      <c r="D21" s="14"/>
      <c r="E21" s="14"/>
      <c r="F21" s="14"/>
      <c r="G21" s="14"/>
      <c r="H21" s="14"/>
      <c r="I21" s="14"/>
      <c r="J21" s="14"/>
      <c r="K21" s="14"/>
      <c r="L21" s="14"/>
      <c r="M21" s="14"/>
      <c r="N21" s="14"/>
      <c r="O21" s="14"/>
      <c r="P21" s="14"/>
      <c r="Q21" s="14"/>
      <c r="R21" s="14"/>
      <c r="S21" s="14"/>
      <c r="T21" s="14"/>
      <c r="U21" s="14"/>
      <c r="V21" s="14"/>
      <c r="X21" s="14"/>
      <c r="Y21" s="14"/>
      <c r="Z21" s="14"/>
      <c r="AA21" s="14"/>
      <c r="AB21" s="14"/>
      <c r="AC21" s="14"/>
      <c r="AD21" s="14"/>
      <c r="AE21" s="14"/>
    </row>
    <row r="22" spans="1:40" s="8" customFormat="1">
      <c r="A22" s="119"/>
      <c r="B22" s="3"/>
      <c r="C22" s="77"/>
      <c r="D22" s="14"/>
      <c r="E22" s="14"/>
      <c r="F22" s="14"/>
      <c r="G22" s="14"/>
      <c r="H22" s="14"/>
      <c r="I22" s="14"/>
      <c r="J22" s="14"/>
      <c r="K22" s="14"/>
      <c r="L22" s="14"/>
      <c r="M22" s="14"/>
      <c r="N22" s="14"/>
      <c r="O22" s="14"/>
      <c r="P22" s="14"/>
      <c r="Q22" s="14"/>
      <c r="R22" s="14"/>
      <c r="S22" s="14"/>
      <c r="T22" s="14"/>
      <c r="U22" s="14"/>
      <c r="V22" s="14"/>
      <c r="X22" s="14"/>
      <c r="Y22" s="14"/>
      <c r="Z22" s="14"/>
      <c r="AA22" s="14"/>
      <c r="AB22" s="14"/>
      <c r="AC22" s="14"/>
      <c r="AD22" s="14"/>
      <c r="AE22" s="14"/>
    </row>
    <row r="23" spans="1:40" s="694" customFormat="1" ht="14">
      <c r="A23" s="691"/>
      <c r="B23" s="693"/>
      <c r="C23" s="693"/>
      <c r="D23"/>
      <c r="E23"/>
      <c r="F23" s="718"/>
      <c r="G23" s="718"/>
      <c r="H23" s="718"/>
      <c r="I23" s="693"/>
      <c r="J23" s="693"/>
      <c r="K23" s="693"/>
      <c r="L23"/>
      <c r="M23"/>
      <c r="N23" s="693"/>
      <c r="O23" s="693"/>
      <c r="P23" s="693"/>
      <c r="Q23" s="693"/>
      <c r="R23" s="693"/>
      <c r="S23"/>
      <c r="T23"/>
      <c r="U23" s="693"/>
      <c r="V23" s="693"/>
      <c r="W23" s="693"/>
    </row>
    <row r="24" spans="1:40" s="694" customFormat="1" ht="14">
      <c r="A24" s="691"/>
      <c r="B24" s="693"/>
      <c r="C24" s="693"/>
      <c r="D24" s="6" t="s">
        <v>69</v>
      </c>
      <c r="E24"/>
      <c r="F24" s="718"/>
      <c r="G24" s="718"/>
      <c r="H24" s="718"/>
      <c r="I24" s="693"/>
      <c r="J24" s="693"/>
      <c r="K24" s="693"/>
      <c r="L24" s="6" t="s">
        <v>70</v>
      </c>
      <c r="M24"/>
      <c r="N24" s="693"/>
      <c r="O24" s="693"/>
      <c r="P24" s="693"/>
      <c r="Q24" s="693"/>
      <c r="R24" s="693"/>
      <c r="S24" s="6" t="s">
        <v>224</v>
      </c>
      <c r="T24"/>
      <c r="U24" s="693"/>
      <c r="V24" s="693"/>
      <c r="W24" s="693"/>
      <c r="Y24" s="928" t="s">
        <v>432</v>
      </c>
      <c r="Z24" s="744"/>
      <c r="AA24" s="744"/>
      <c r="AB24" s="744"/>
      <c r="AC24" s="744"/>
      <c r="AD24" s="744"/>
      <c r="AE24" s="744"/>
      <c r="AF24" s="744"/>
      <c r="AG24" s="744"/>
      <c r="AH24" s="744"/>
      <c r="AI24" s="744"/>
      <c r="AJ24" s="744"/>
      <c r="AK24" s="744"/>
      <c r="AL24" s="744"/>
      <c r="AM24" s="744"/>
    </row>
    <row r="25" spans="1:40" s="694" customFormat="1" ht="14">
      <c r="A25" s="691"/>
      <c r="B25" s="693"/>
      <c r="C25" s="693"/>
      <c r="D25" s="718"/>
      <c r="E25" s="718"/>
      <c r="F25" s="718"/>
      <c r="G25" s="718"/>
      <c r="H25" s="718"/>
      <c r="I25" s="693"/>
      <c r="J25" s="693"/>
      <c r="K25" s="693"/>
      <c r="L25" s="693"/>
      <c r="M25" s="693"/>
      <c r="N25" s="693"/>
      <c r="O25" s="693"/>
      <c r="P25" s="693"/>
      <c r="Q25" s="693"/>
      <c r="R25" s="693"/>
      <c r="S25" s="693"/>
      <c r="T25" s="693"/>
      <c r="U25" s="693"/>
      <c r="V25" s="693"/>
      <c r="W25" s="693"/>
      <c r="Y25" s="744"/>
      <c r="Z25" s="744"/>
      <c r="AA25" s="744"/>
      <c r="AB25" s="744"/>
      <c r="AC25" s="744"/>
      <c r="AD25" s="744"/>
      <c r="AE25" s="744"/>
      <c r="AF25" s="744"/>
      <c r="AG25" s="744"/>
      <c r="AH25" s="744"/>
      <c r="AI25" s="744"/>
      <c r="AJ25" s="744"/>
      <c r="AK25" s="744"/>
      <c r="AL25" s="744"/>
      <c r="AM25" s="744"/>
    </row>
    <row r="26" spans="1:40" s="694" customFormat="1" ht="14">
      <c r="A26" s="691"/>
      <c r="B26" s="693"/>
      <c r="C26" s="693"/>
      <c r="D26" s="757" t="s">
        <v>13</v>
      </c>
      <c r="E26" s="757" t="s">
        <v>14</v>
      </c>
      <c r="F26" s="758"/>
      <c r="G26" s="759"/>
      <c r="H26" s="48"/>
      <c r="I26" s="693"/>
      <c r="J26" s="693"/>
      <c r="K26" s="693"/>
      <c r="L26" s="699" t="s">
        <v>13</v>
      </c>
      <c r="M26" s="699" t="s">
        <v>14</v>
      </c>
      <c r="N26" s="719"/>
      <c r="O26" s="700"/>
      <c r="P26" s="48"/>
      <c r="Q26" s="693"/>
      <c r="R26" s="693"/>
      <c r="S26" s="699" t="s">
        <v>13</v>
      </c>
      <c r="T26" s="699" t="s">
        <v>2</v>
      </c>
      <c r="U26" s="719"/>
      <c r="V26" s="700"/>
      <c r="W26" s="48"/>
      <c r="Y26" s="744"/>
      <c r="Z26" s="744"/>
      <c r="AA26" s="744"/>
      <c r="AB26" s="744"/>
      <c r="AC26" s="744"/>
      <c r="AD26" s="744"/>
      <c r="AE26" s="744"/>
      <c r="AF26" s="744"/>
      <c r="AG26" s="744"/>
      <c r="AH26" s="744"/>
      <c r="AI26" s="744"/>
      <c r="AJ26" s="744"/>
      <c r="AK26" s="744"/>
      <c r="AL26" s="744"/>
      <c r="AM26" s="744"/>
    </row>
    <row r="27" spans="1:40" s="694" customFormat="1" ht="14">
      <c r="A27" s="691"/>
      <c r="B27" s="693"/>
      <c r="C27" s="693"/>
      <c r="D27" s="757" t="s">
        <v>2</v>
      </c>
      <c r="E27" s="757" t="s">
        <v>27</v>
      </c>
      <c r="F27" s="760" t="s">
        <v>47</v>
      </c>
      <c r="G27" s="761" t="s">
        <v>235</v>
      </c>
      <c r="H27" s="48"/>
      <c r="I27" s="693"/>
      <c r="J27" s="693"/>
      <c r="K27" s="693"/>
      <c r="L27" s="699" t="s">
        <v>2</v>
      </c>
      <c r="M27" s="701" t="s">
        <v>27</v>
      </c>
      <c r="N27" s="720" t="s">
        <v>47</v>
      </c>
      <c r="O27" s="721" t="s">
        <v>235</v>
      </c>
      <c r="P27" s="48"/>
      <c r="Q27" s="693"/>
      <c r="R27" s="693"/>
      <c r="S27" s="699" t="s">
        <v>14</v>
      </c>
      <c r="T27" s="701" t="s">
        <v>1</v>
      </c>
      <c r="U27" s="720" t="s">
        <v>0</v>
      </c>
      <c r="V27" s="721" t="s">
        <v>235</v>
      </c>
      <c r="W27" s="48"/>
      <c r="Y27" s="744" t="s">
        <v>82</v>
      </c>
      <c r="Z27" s="744"/>
      <c r="AA27" s="744"/>
      <c r="AB27" s="744"/>
      <c r="AC27" s="744"/>
      <c r="AD27" s="744"/>
      <c r="AE27" s="744"/>
      <c r="AF27" s="744"/>
      <c r="AG27" s="744"/>
      <c r="AH27" s="744"/>
      <c r="AI27" s="744"/>
      <c r="AJ27" s="744"/>
      <c r="AK27" s="744"/>
      <c r="AL27" s="744"/>
      <c r="AM27" s="744"/>
      <c r="AN27" s="48"/>
    </row>
    <row r="28" spans="1:40" s="694" customFormat="1" ht="14">
      <c r="A28" s="691"/>
      <c r="B28" s="693"/>
      <c r="C28" s="693"/>
      <c r="D28" s="757" t="s">
        <v>1</v>
      </c>
      <c r="E28" s="762">
        <v>97</v>
      </c>
      <c r="F28" s="763">
        <v>68</v>
      </c>
      <c r="G28" s="764">
        <v>165</v>
      </c>
      <c r="H28" s="48"/>
      <c r="I28" s="693"/>
      <c r="J28" s="693"/>
      <c r="K28" s="693"/>
      <c r="L28" s="701" t="s">
        <v>1</v>
      </c>
      <c r="M28" s="704">
        <v>0.58787878787878789</v>
      </c>
      <c r="N28" s="749">
        <v>0.41212121212121211</v>
      </c>
      <c r="O28" s="734">
        <v>1</v>
      </c>
      <c r="P28" s="48"/>
      <c r="Q28" s="693"/>
      <c r="R28" s="693"/>
      <c r="S28" s="701" t="s">
        <v>47</v>
      </c>
      <c r="T28" s="706">
        <v>0.56666666666666665</v>
      </c>
      <c r="U28" s="725">
        <v>0.43333333333333335</v>
      </c>
      <c r="V28" s="734">
        <v>1</v>
      </c>
      <c r="W28" s="48"/>
      <c r="Y28" s="744"/>
      <c r="Z28" s="744"/>
      <c r="AA28" s="744"/>
      <c r="AB28" s="744"/>
      <c r="AC28" s="744"/>
      <c r="AD28" s="744"/>
      <c r="AE28" s="744"/>
      <c r="AF28" s="744"/>
      <c r="AG28" s="744"/>
      <c r="AH28" s="744"/>
      <c r="AI28" s="744"/>
      <c r="AJ28" s="744"/>
      <c r="AK28" s="744"/>
      <c r="AL28" s="744"/>
      <c r="AM28" s="744"/>
      <c r="AN28" s="48"/>
    </row>
    <row r="29" spans="1:40" s="694" customFormat="1" ht="14">
      <c r="A29" s="691"/>
      <c r="B29" s="693"/>
      <c r="C29" s="693"/>
      <c r="D29" s="765" t="s">
        <v>0</v>
      </c>
      <c r="E29" s="766">
        <v>103</v>
      </c>
      <c r="F29" s="767">
        <v>52</v>
      </c>
      <c r="G29" s="768">
        <v>155</v>
      </c>
      <c r="H29" s="48"/>
      <c r="I29" s="693"/>
      <c r="J29" s="693"/>
      <c r="K29" s="693"/>
      <c r="L29" s="708" t="s">
        <v>0</v>
      </c>
      <c r="M29" s="709">
        <v>0.6645161290322581</v>
      </c>
      <c r="N29" s="752">
        <v>0.33548387096774196</v>
      </c>
      <c r="O29" s="735">
        <v>1</v>
      </c>
      <c r="P29" s="48"/>
      <c r="Q29" s="693"/>
      <c r="R29" s="693"/>
      <c r="S29" s="708" t="s">
        <v>27</v>
      </c>
      <c r="T29" s="711">
        <v>0.48499999999999999</v>
      </c>
      <c r="U29" s="729">
        <v>0.51500000000000001</v>
      </c>
      <c r="V29" s="735">
        <v>1</v>
      </c>
      <c r="W29" s="48"/>
      <c r="Y29" s="744"/>
      <c r="Z29" s="744"/>
      <c r="AA29" s="744"/>
      <c r="AB29" s="744"/>
      <c r="AC29" s="744"/>
      <c r="AD29" s="744"/>
      <c r="AE29" s="744"/>
      <c r="AF29" s="744"/>
      <c r="AG29" s="744"/>
      <c r="AH29" s="744"/>
      <c r="AI29" s="744"/>
      <c r="AJ29" s="744"/>
      <c r="AK29" s="744"/>
      <c r="AL29" s="744"/>
      <c r="AM29" s="744"/>
      <c r="AN29" s="48"/>
    </row>
    <row r="30" spans="1:40" s="694" customFormat="1" ht="14">
      <c r="A30" s="691"/>
      <c r="B30" s="693"/>
      <c r="C30" s="693"/>
      <c r="D30" s="769" t="s">
        <v>235</v>
      </c>
      <c r="E30" s="770">
        <v>200</v>
      </c>
      <c r="F30" s="771">
        <v>120</v>
      </c>
      <c r="G30" s="772">
        <v>320</v>
      </c>
      <c r="H30" s="48"/>
      <c r="I30" s="693"/>
      <c r="J30" s="693"/>
      <c r="K30" s="693"/>
      <c r="L30" s="713" t="s">
        <v>235</v>
      </c>
      <c r="M30" s="714">
        <v>0.625</v>
      </c>
      <c r="N30" s="755">
        <v>0.375</v>
      </c>
      <c r="O30" s="736">
        <v>1</v>
      </c>
      <c r="P30" s="48"/>
      <c r="Q30" s="693"/>
      <c r="R30" s="693"/>
      <c r="S30" s="713" t="s">
        <v>235</v>
      </c>
      <c r="T30" s="716">
        <v>0.515625</v>
      </c>
      <c r="U30" s="730">
        <v>0.484375</v>
      </c>
      <c r="V30" s="736">
        <v>1</v>
      </c>
      <c r="W30" s="48"/>
      <c r="Y30" s="743"/>
      <c r="Z30" s="743" t="s">
        <v>2</v>
      </c>
      <c r="AA30" s="744" t="s">
        <v>14</v>
      </c>
      <c r="AB30" s="744" t="s">
        <v>131</v>
      </c>
      <c r="AC30" s="744"/>
      <c r="AD30" s="744"/>
      <c r="AE30" s="744"/>
      <c r="AF30" s="744"/>
      <c r="AG30" s="744"/>
      <c r="AH30" s="744"/>
      <c r="AI30" s="744"/>
      <c r="AJ30" s="744"/>
      <c r="AK30" s="744"/>
      <c r="AL30" s="744"/>
      <c r="AM30" s="745"/>
      <c r="AN30" s="48"/>
    </row>
    <row r="31" spans="1:40" s="694" customFormat="1" ht="14">
      <c r="A31" s="691"/>
      <c r="B31" s="693"/>
      <c r="C31" s="693"/>
      <c r="D31" s="48"/>
      <c r="E31" s="48"/>
      <c r="F31" s="48"/>
      <c r="G31" s="48"/>
      <c r="H31" s="48"/>
      <c r="I31" s="693"/>
      <c r="J31" s="693"/>
      <c r="K31" s="693"/>
      <c r="L31" s="48"/>
      <c r="M31" s="48"/>
      <c r="N31" s="48"/>
      <c r="O31" s="48"/>
      <c r="P31" s="48"/>
      <c r="Q31" s="693"/>
      <c r="R31" s="693"/>
      <c r="S31" s="48"/>
      <c r="T31" s="48"/>
      <c r="U31" s="48"/>
      <c r="V31" s="48"/>
      <c r="W31" s="48"/>
      <c r="Y31" s="774"/>
      <c r="Z31" s="743" t="s">
        <v>1</v>
      </c>
      <c r="AA31" s="744"/>
      <c r="AB31" s="744"/>
      <c r="AC31" s="744"/>
      <c r="AD31" s="743" t="s">
        <v>199</v>
      </c>
      <c r="AE31" s="743" t="s">
        <v>200</v>
      </c>
      <c r="AF31" s="743" t="s">
        <v>0</v>
      </c>
      <c r="AG31" s="744"/>
      <c r="AH31" s="744"/>
      <c r="AI31" s="744"/>
      <c r="AJ31" s="743" t="s">
        <v>201</v>
      </c>
      <c r="AK31" s="743" t="s">
        <v>202</v>
      </c>
      <c r="AL31" s="743" t="s">
        <v>133</v>
      </c>
      <c r="AM31" s="747" t="s">
        <v>134</v>
      </c>
      <c r="AN31" s="48"/>
    </row>
    <row r="32" spans="1:40" s="694" customFormat="1" ht="14">
      <c r="A32" s="691"/>
      <c r="B32" s="693"/>
      <c r="C32" s="693"/>
      <c r="D32" s="48"/>
      <c r="E32" s="48"/>
      <c r="F32" s="48"/>
      <c r="G32" s="48"/>
      <c r="H32" s="718"/>
      <c r="J32" s="693"/>
      <c r="K32" s="693"/>
      <c r="L32" s="48"/>
      <c r="M32" s="48"/>
      <c r="N32" s="48"/>
      <c r="O32" s="48"/>
      <c r="P32" s="693"/>
      <c r="Q32" s="693"/>
      <c r="R32" s="693"/>
      <c r="S32" s="48"/>
      <c r="T32" s="48"/>
      <c r="U32" s="48"/>
      <c r="V32" s="48"/>
      <c r="W32" s="693"/>
      <c r="Y32" s="774"/>
      <c r="Z32" s="743" t="s">
        <v>47</v>
      </c>
      <c r="AA32" s="744"/>
      <c r="AB32" s="743" t="s">
        <v>27</v>
      </c>
      <c r="AC32" s="744"/>
      <c r="AD32" s="774"/>
      <c r="AE32" s="774"/>
      <c r="AF32" s="743" t="s">
        <v>47</v>
      </c>
      <c r="AG32" s="744"/>
      <c r="AH32" s="743" t="s">
        <v>27</v>
      </c>
      <c r="AI32" s="744"/>
      <c r="AJ32" s="774"/>
      <c r="AK32" s="774"/>
      <c r="AL32" s="774"/>
      <c r="AM32" s="775"/>
      <c r="AN32" s="48"/>
    </row>
    <row r="33" spans="1:42" s="8" customFormat="1" ht="14">
      <c r="A33" s="119"/>
      <c r="B33" s="14"/>
      <c r="C33" s="14"/>
      <c r="D33" s="25"/>
      <c r="E33" s="26"/>
      <c r="F33" s="25"/>
      <c r="G33" s="25"/>
      <c r="H33" s="25"/>
      <c r="J33" s="14"/>
      <c r="K33" s="14"/>
      <c r="L33" s="17"/>
      <c r="M33" s="18"/>
      <c r="N33" s="18"/>
      <c r="O33" s="19"/>
      <c r="P33" s="14"/>
      <c r="Q33" s="14"/>
      <c r="R33" s="14"/>
      <c r="S33"/>
      <c r="T33"/>
      <c r="U33"/>
      <c r="V33" s="14"/>
      <c r="W33" s="14"/>
      <c r="Y33" s="743" t="s">
        <v>12</v>
      </c>
      <c r="Z33" s="743" t="s">
        <v>13</v>
      </c>
      <c r="AA33" s="746" t="s">
        <v>132</v>
      </c>
      <c r="AB33" s="743" t="s">
        <v>13</v>
      </c>
      <c r="AC33" s="746" t="s">
        <v>132</v>
      </c>
      <c r="AD33" s="774"/>
      <c r="AE33" s="774"/>
      <c r="AF33" s="743" t="s">
        <v>13</v>
      </c>
      <c r="AG33" s="746" t="s">
        <v>132</v>
      </c>
      <c r="AH33" s="743" t="s">
        <v>13</v>
      </c>
      <c r="AI33" s="746" t="s">
        <v>132</v>
      </c>
      <c r="AJ33" s="774"/>
      <c r="AK33" s="774"/>
      <c r="AL33" s="774"/>
      <c r="AM33" s="775"/>
      <c r="AN33" s="48"/>
      <c r="AO33" s="694"/>
      <c r="AP33" s="694"/>
    </row>
    <row r="34" spans="1:42" s="8" customFormat="1" ht="14">
      <c r="A34" s="119"/>
      <c r="B34" s="14"/>
      <c r="C34" s="14"/>
      <c r="G34" s="25"/>
      <c r="H34" s="25"/>
      <c r="I34" s="14"/>
      <c r="J34" s="14"/>
      <c r="K34" s="14"/>
      <c r="L34" s="17"/>
      <c r="M34" s="18"/>
      <c r="N34" s="18"/>
      <c r="O34" s="19"/>
      <c r="P34" s="14"/>
      <c r="Q34" s="14"/>
      <c r="R34" s="14"/>
      <c r="S34" s="14"/>
      <c r="T34" s="14"/>
      <c r="U34" s="14"/>
      <c r="V34" s="14"/>
      <c r="W34" s="14"/>
      <c r="Y34" s="743" t="s">
        <v>3</v>
      </c>
      <c r="Z34" s="748">
        <v>36</v>
      </c>
      <c r="AA34" s="776">
        <v>0.20809248554913296</v>
      </c>
      <c r="AB34" s="748">
        <v>62</v>
      </c>
      <c r="AC34" s="776">
        <v>0.3583815028901734</v>
      </c>
      <c r="AD34" s="748">
        <v>98</v>
      </c>
      <c r="AE34" s="777">
        <v>0.56647398843930641</v>
      </c>
      <c r="AF34" s="748">
        <v>21</v>
      </c>
      <c r="AG34" s="776">
        <v>0.12138728323699421</v>
      </c>
      <c r="AH34" s="748">
        <v>54</v>
      </c>
      <c r="AI34" s="776">
        <v>0.31213872832369943</v>
      </c>
      <c r="AJ34" s="748">
        <v>75</v>
      </c>
      <c r="AK34" s="777">
        <v>0.43352601156069365</v>
      </c>
      <c r="AL34" s="748">
        <v>173</v>
      </c>
      <c r="AM34" s="778">
        <v>1</v>
      </c>
      <c r="AN34" s="48"/>
    </row>
    <row r="35" spans="1:42" s="8" customFormat="1" ht="14">
      <c r="A35" s="119"/>
      <c r="B35" s="14"/>
      <c r="C35" s="14"/>
      <c r="D35" s="20"/>
      <c r="E35" s="21"/>
      <c r="F35" s="21"/>
      <c r="G35" s="14"/>
      <c r="H35" s="14"/>
      <c r="I35" s="14"/>
      <c r="J35" s="14"/>
      <c r="K35" s="14"/>
      <c r="L35" s="17"/>
      <c r="M35" s="18"/>
      <c r="N35" s="18"/>
      <c r="O35" s="19"/>
      <c r="P35" s="14"/>
      <c r="Q35" s="14"/>
      <c r="R35" s="14"/>
      <c r="S35" s="14"/>
      <c r="T35" s="14"/>
      <c r="U35" s="14"/>
      <c r="V35" s="14"/>
      <c r="W35" s="14"/>
      <c r="Y35" s="750" t="s">
        <v>49</v>
      </c>
      <c r="Z35" s="751">
        <v>11</v>
      </c>
      <c r="AA35" s="779">
        <v>0.31428571428571428</v>
      </c>
      <c r="AB35" s="751">
        <v>3</v>
      </c>
      <c r="AC35" s="779">
        <v>8.5714285714285715E-2</v>
      </c>
      <c r="AD35" s="751">
        <v>14</v>
      </c>
      <c r="AE35" s="780">
        <v>0.4</v>
      </c>
      <c r="AF35" s="751">
        <v>16</v>
      </c>
      <c r="AG35" s="779">
        <v>0.45714285714285713</v>
      </c>
      <c r="AH35" s="751">
        <v>5</v>
      </c>
      <c r="AI35" s="779">
        <v>0.14285714285714285</v>
      </c>
      <c r="AJ35" s="751">
        <v>21</v>
      </c>
      <c r="AK35" s="780">
        <v>0.6</v>
      </c>
      <c r="AL35" s="751">
        <v>35</v>
      </c>
      <c r="AM35" s="781">
        <v>1</v>
      </c>
      <c r="AN35" s="48"/>
    </row>
    <row r="36" spans="1:42" s="8" customFormat="1" ht="14">
      <c r="A36" s="119"/>
      <c r="B36" s="14"/>
      <c r="C36" s="14"/>
      <c r="D36" s="20"/>
      <c r="E36" s="21"/>
      <c r="F36" s="21"/>
      <c r="G36" s="14"/>
      <c r="H36" s="14"/>
      <c r="I36" s="14"/>
      <c r="J36" s="14"/>
      <c r="K36" s="14"/>
      <c r="L36" s="17"/>
      <c r="M36" s="18"/>
      <c r="N36" s="18"/>
      <c r="O36" s="19"/>
      <c r="P36" s="14"/>
      <c r="Q36" s="14"/>
      <c r="R36" s="14"/>
      <c r="S36" s="14"/>
      <c r="T36" s="14"/>
      <c r="U36" s="14"/>
      <c r="V36" s="14"/>
      <c r="W36" s="14"/>
      <c r="Y36" s="750" t="s">
        <v>50</v>
      </c>
      <c r="Z36" s="751">
        <v>20</v>
      </c>
      <c r="AA36" s="779">
        <v>0.20202020202020202</v>
      </c>
      <c r="AB36" s="751">
        <v>26</v>
      </c>
      <c r="AC36" s="779">
        <v>0.26262626262626265</v>
      </c>
      <c r="AD36" s="751">
        <v>46</v>
      </c>
      <c r="AE36" s="780">
        <v>0.46464646464646464</v>
      </c>
      <c r="AF36" s="751">
        <v>13</v>
      </c>
      <c r="AG36" s="779">
        <v>0.13131313131313133</v>
      </c>
      <c r="AH36" s="751">
        <v>40</v>
      </c>
      <c r="AI36" s="779">
        <v>0.40404040404040403</v>
      </c>
      <c r="AJ36" s="751">
        <v>53</v>
      </c>
      <c r="AK36" s="780">
        <v>0.53535353535353536</v>
      </c>
      <c r="AL36" s="751">
        <v>99</v>
      </c>
      <c r="AM36" s="781">
        <v>1</v>
      </c>
      <c r="AN36"/>
    </row>
    <row r="37" spans="1:42" s="8" customFormat="1" ht="14">
      <c r="A37" s="119"/>
      <c r="B37" s="14"/>
      <c r="C37" s="14"/>
      <c r="D37" s="20"/>
      <c r="E37" s="21"/>
      <c r="F37" s="21"/>
      <c r="G37" s="14"/>
      <c r="H37" s="14"/>
      <c r="I37" s="14"/>
      <c r="J37" s="14"/>
      <c r="K37" s="14"/>
      <c r="L37" s="17"/>
      <c r="M37" s="18"/>
      <c r="N37" s="18"/>
      <c r="O37" s="19"/>
      <c r="P37" s="14"/>
      <c r="Q37" s="14"/>
      <c r="R37" s="14"/>
      <c r="S37" s="14"/>
      <c r="T37" s="14"/>
      <c r="U37" s="14"/>
      <c r="V37" s="14"/>
      <c r="W37" s="14"/>
      <c r="Y37" s="750" t="s">
        <v>51</v>
      </c>
      <c r="Z37" s="751">
        <v>1</v>
      </c>
      <c r="AA37" s="779">
        <v>7.6923076923076927E-2</v>
      </c>
      <c r="AB37" s="751">
        <v>6</v>
      </c>
      <c r="AC37" s="779">
        <v>0.46153846153846156</v>
      </c>
      <c r="AD37" s="751">
        <v>7</v>
      </c>
      <c r="AE37" s="780">
        <v>0.53846153846153844</v>
      </c>
      <c r="AF37" s="751">
        <v>2</v>
      </c>
      <c r="AG37" s="779">
        <v>0.15384615384615385</v>
      </c>
      <c r="AH37" s="751">
        <v>4</v>
      </c>
      <c r="AI37" s="779">
        <v>0.30769230769230771</v>
      </c>
      <c r="AJ37" s="751">
        <v>6</v>
      </c>
      <c r="AK37" s="780">
        <v>0.46153846153846156</v>
      </c>
      <c r="AL37" s="751">
        <v>13</v>
      </c>
      <c r="AM37" s="781">
        <v>1</v>
      </c>
    </row>
    <row r="38" spans="1:42" s="8" customFormat="1" ht="14">
      <c r="A38" s="119"/>
      <c r="B38" s="14"/>
      <c r="C38" s="14"/>
      <c r="D38" s="20"/>
      <c r="E38" s="21"/>
      <c r="F38" s="21"/>
      <c r="G38" s="14"/>
      <c r="H38" s="14"/>
      <c r="I38" s="14"/>
      <c r="J38" s="14"/>
      <c r="K38" s="14"/>
      <c r="L38" s="14"/>
      <c r="M38" s="14"/>
      <c r="N38" s="14"/>
      <c r="O38" s="14"/>
      <c r="P38" s="14"/>
      <c r="Q38" s="14"/>
      <c r="R38" s="14"/>
      <c r="S38" s="14"/>
      <c r="T38" s="14"/>
      <c r="U38" s="14"/>
      <c r="V38" s="14"/>
      <c r="W38" s="14"/>
      <c r="Y38" s="753" t="s">
        <v>235</v>
      </c>
      <c r="Z38" s="754">
        <v>68</v>
      </c>
      <c r="AA38" s="786">
        <v>0.21249999999999999</v>
      </c>
      <c r="AB38" s="754">
        <v>97</v>
      </c>
      <c r="AC38" s="786">
        <v>0.30312499999999998</v>
      </c>
      <c r="AD38" s="754">
        <v>165</v>
      </c>
      <c r="AE38" s="787">
        <v>0.515625</v>
      </c>
      <c r="AF38" s="754">
        <v>52</v>
      </c>
      <c r="AG38" s="786">
        <v>0.16250000000000001</v>
      </c>
      <c r="AH38" s="754">
        <v>103</v>
      </c>
      <c r="AI38" s="786">
        <v>0.32187500000000002</v>
      </c>
      <c r="AJ38" s="754">
        <v>155</v>
      </c>
      <c r="AK38" s="787">
        <v>0.484375</v>
      </c>
      <c r="AL38" s="754">
        <v>320</v>
      </c>
      <c r="AM38" s="788">
        <v>1</v>
      </c>
    </row>
    <row r="39" spans="1:42" s="8" customFormat="1">
      <c r="A39" s="119"/>
      <c r="B39" s="14"/>
      <c r="C39" s="14"/>
      <c r="D39" s="20"/>
      <c r="E39" s="21"/>
      <c r="F39" s="21"/>
      <c r="G39" s="14"/>
      <c r="H39" s="14"/>
      <c r="I39" s="14"/>
      <c r="J39" s="14"/>
      <c r="K39" s="14"/>
      <c r="L39" s="14"/>
      <c r="M39" s="14"/>
      <c r="N39" s="14"/>
      <c r="O39" s="14"/>
      <c r="P39" s="14"/>
      <c r="Q39" s="14"/>
      <c r="R39" s="14"/>
      <c r="S39" s="14"/>
      <c r="T39" s="14"/>
      <c r="U39" s="14"/>
      <c r="V39" s="14"/>
      <c r="W39" s="14"/>
      <c r="X39" s="51"/>
      <c r="Y39"/>
      <c r="Z39"/>
      <c r="AA39"/>
      <c r="AB39"/>
      <c r="AC39"/>
      <c r="AD39"/>
      <c r="AE39"/>
      <c r="AF39"/>
      <c r="AG39"/>
      <c r="AH39"/>
      <c r="AI39"/>
      <c r="AJ39"/>
      <c r="AK39"/>
      <c r="AL39"/>
      <c r="AM39"/>
    </row>
    <row r="40" spans="1:42" s="8" customFormat="1">
      <c r="A40" s="119"/>
      <c r="B40" s="14"/>
      <c r="C40" s="14"/>
      <c r="D40" s="20"/>
      <c r="E40" s="21"/>
      <c r="F40" s="21"/>
      <c r="G40" s="14"/>
      <c r="H40" s="14"/>
      <c r="I40" s="14"/>
      <c r="J40" s="14"/>
      <c r="K40" s="14"/>
      <c r="L40" s="14"/>
      <c r="M40" s="14"/>
      <c r="N40" s="14"/>
      <c r="O40" s="14"/>
      <c r="P40" s="14"/>
      <c r="Q40" s="14"/>
      <c r="R40" s="14"/>
      <c r="S40" s="14"/>
      <c r="T40" s="14"/>
      <c r="U40" s="14"/>
      <c r="V40" s="14"/>
      <c r="W40" s="14"/>
      <c r="X40" s="14"/>
      <c r="Y40"/>
      <c r="Z40"/>
      <c r="AA40"/>
      <c r="AB40"/>
      <c r="AC40"/>
      <c r="AD40"/>
      <c r="AE40"/>
      <c r="AF40"/>
      <c r="AG40"/>
      <c r="AH40"/>
      <c r="AI40"/>
      <c r="AJ40"/>
      <c r="AK40"/>
      <c r="AL40"/>
      <c r="AM40"/>
    </row>
    <row r="41" spans="1:42" s="8" customFormat="1">
      <c r="A41" s="119"/>
      <c r="B41" s="14"/>
      <c r="C41" s="14"/>
      <c r="D41" s="20"/>
      <c r="E41" s="21"/>
      <c r="F41" s="21"/>
      <c r="G41" s="14"/>
      <c r="H41" s="14"/>
      <c r="I41" s="14"/>
      <c r="J41" s="14"/>
      <c r="K41" s="14"/>
      <c r="L41" s="14"/>
      <c r="M41" s="14"/>
      <c r="N41" s="14"/>
      <c r="O41" s="14"/>
      <c r="P41" s="14"/>
      <c r="Q41" s="14"/>
      <c r="R41" s="14"/>
      <c r="S41" s="14"/>
      <c r="T41" s="14"/>
      <c r="U41" s="14"/>
      <c r="V41" s="14"/>
      <c r="W41" s="14"/>
      <c r="X41" s="14"/>
      <c r="Y41"/>
      <c r="Z41"/>
      <c r="AA41"/>
      <c r="AB41"/>
      <c r="AC41"/>
      <c r="AD41"/>
      <c r="AE41"/>
      <c r="AF41"/>
      <c r="AG41"/>
      <c r="AH41"/>
      <c r="AI41"/>
      <c r="AJ41"/>
      <c r="AK41"/>
      <c r="AL41"/>
      <c r="AM41"/>
    </row>
    <row r="42" spans="1:42" s="8" customFormat="1">
      <c r="A42" s="119"/>
      <c r="B42" s="14"/>
      <c r="C42" s="14"/>
      <c r="D42" s="20"/>
      <c r="E42" s="21"/>
      <c r="F42" s="21"/>
      <c r="G42" s="14"/>
      <c r="H42" s="14"/>
      <c r="I42" s="14"/>
      <c r="J42" s="14"/>
      <c r="K42" s="14"/>
      <c r="L42" s="14"/>
      <c r="M42" s="14"/>
      <c r="N42" s="14"/>
      <c r="O42" s="14"/>
      <c r="P42" s="14"/>
      <c r="Q42" s="14"/>
      <c r="R42" s="14"/>
      <c r="S42" s="14"/>
      <c r="T42" s="14"/>
      <c r="U42" s="14"/>
      <c r="V42" s="14"/>
      <c r="W42" s="14"/>
      <c r="X42" s="14"/>
      <c r="Y42"/>
      <c r="Z42"/>
      <c r="AA42"/>
      <c r="AB42"/>
      <c r="AC42"/>
      <c r="AD42"/>
      <c r="AE42"/>
      <c r="AF42"/>
      <c r="AG42"/>
      <c r="AH42"/>
      <c r="AI42"/>
      <c r="AJ42"/>
      <c r="AK42"/>
      <c r="AL42"/>
      <c r="AM42"/>
    </row>
    <row r="43" spans="1:42" s="8" customFormat="1">
      <c r="A43" s="119"/>
      <c r="B43" s="14"/>
      <c r="C43" s="14"/>
      <c r="D43" s="20"/>
      <c r="E43" s="21"/>
      <c r="F43" s="21"/>
      <c r="G43" s="14"/>
      <c r="H43" s="14"/>
      <c r="I43" s="14"/>
      <c r="J43" s="14"/>
      <c r="K43" s="14"/>
      <c r="L43" s="14"/>
      <c r="M43" s="14"/>
      <c r="N43" s="14"/>
      <c r="O43" s="14"/>
      <c r="P43" s="14"/>
      <c r="Q43" s="14"/>
      <c r="R43" s="14"/>
      <c r="S43" s="14"/>
      <c r="T43" s="14"/>
      <c r="U43" s="14"/>
      <c r="V43" s="14"/>
      <c r="W43" s="14"/>
      <c r="X43" s="14"/>
      <c r="Y43"/>
      <c r="Z43"/>
      <c r="AA43"/>
      <c r="AB43"/>
      <c r="AC43"/>
      <c r="AD43"/>
      <c r="AE43"/>
      <c r="AF43"/>
      <c r="AG43"/>
      <c r="AH43"/>
      <c r="AI43"/>
      <c r="AJ43"/>
      <c r="AK43"/>
      <c r="AL43"/>
      <c r="AM43"/>
    </row>
    <row r="44" spans="1:42" s="8" customFormat="1">
      <c r="A44" s="119"/>
      <c r="B44" s="14"/>
      <c r="C44" s="14"/>
      <c r="D44" s="20"/>
      <c r="E44" s="21"/>
      <c r="F44" s="21"/>
      <c r="G44" s="14"/>
      <c r="H44" s="14"/>
      <c r="I44" s="14"/>
      <c r="J44" s="14"/>
      <c r="K44" s="14"/>
      <c r="L44" s="14"/>
      <c r="M44" s="14"/>
      <c r="N44" s="14"/>
      <c r="O44" s="14"/>
      <c r="P44" s="14"/>
      <c r="Q44" s="14"/>
      <c r="R44" s="14"/>
      <c r="S44" s="14"/>
      <c r="T44" s="14"/>
      <c r="U44" s="14"/>
      <c r="V44" s="14"/>
      <c r="W44" s="14"/>
      <c r="X44" s="14"/>
      <c r="Y44"/>
      <c r="Z44"/>
      <c r="AA44"/>
      <c r="AB44"/>
      <c r="AC44"/>
      <c r="AD44"/>
      <c r="AE44"/>
      <c r="AF44"/>
      <c r="AG44"/>
      <c r="AH44"/>
      <c r="AI44"/>
      <c r="AJ44"/>
      <c r="AK44"/>
      <c r="AL44"/>
      <c r="AM44"/>
    </row>
    <row r="45" spans="1:42" s="8" customFormat="1">
      <c r="A45" s="119"/>
      <c r="B45" s="14"/>
      <c r="C45" s="14"/>
      <c r="D45" s="20"/>
      <c r="E45" s="21"/>
      <c r="F45" s="21"/>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row>
    <row r="46" spans="1:42" s="8" customFormat="1">
      <c r="A46" s="119"/>
      <c r="B46" s="14"/>
      <c r="C46" s="14"/>
      <c r="D46" s="20"/>
      <c r="E46" s="21"/>
      <c r="F46" s="21"/>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row>
    <row r="47" spans="1:42" s="8" customFormat="1">
      <c r="A47" s="119"/>
      <c r="B47" s="14"/>
      <c r="C47" s="14"/>
      <c r="D47" s="20"/>
      <c r="E47" s="21"/>
      <c r="F47" s="21"/>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row>
    <row r="48" spans="1:42" s="8" customFormat="1">
      <c r="A48" s="119"/>
      <c r="B48" s="14"/>
      <c r="C48" s="14"/>
      <c r="D48" s="22"/>
      <c r="E48" s="16"/>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row>
    <row r="49" spans="1:40" s="8" customFormat="1">
      <c r="A49" s="119"/>
      <c r="B49" s="14"/>
      <c r="C49" s="14"/>
      <c r="D49" s="14"/>
      <c r="E49" s="16"/>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row>
    <row r="50" spans="1:40" s="8" customFormat="1">
      <c r="A50" s="119"/>
      <c r="B50" s="6"/>
      <c r="C50" s="14"/>
      <c r="D50" s="14"/>
      <c r="E50" s="16"/>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row>
    <row r="51" spans="1:40" s="8" customFormat="1">
      <c r="A51" s="119"/>
      <c r="B51" s="23"/>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row>
    <row r="52" spans="1:40" s="8" customFormat="1" ht="59" customHeight="1">
      <c r="A52" s="119"/>
      <c r="B52" s="14"/>
      <c r="C52" s="14"/>
      <c r="D52" s="1407" t="s">
        <v>472</v>
      </c>
      <c r="E52" s="1408"/>
      <c r="F52" s="1409"/>
      <c r="G52" s="1410" t="s">
        <v>477</v>
      </c>
      <c r="H52" s="1411"/>
      <c r="I52" s="1411"/>
      <c r="J52" s="1411"/>
      <c r="K52" s="1411"/>
      <c r="L52" s="1411"/>
      <c r="M52" s="1411"/>
      <c r="N52" s="1411"/>
      <c r="O52" s="1411"/>
      <c r="P52" s="1411"/>
      <c r="Q52" s="1411"/>
      <c r="R52" s="1411"/>
      <c r="S52" s="1411"/>
      <c r="T52" s="1411"/>
      <c r="U52" s="1411"/>
      <c r="V52" s="1411"/>
      <c r="W52" s="1411"/>
      <c r="X52" s="1411"/>
      <c r="Y52" s="1411"/>
      <c r="Z52" s="1411"/>
      <c r="AA52" s="1411"/>
      <c r="AB52" s="1411"/>
      <c r="AC52" s="1411"/>
      <c r="AD52" s="1412"/>
      <c r="AE52" s="14"/>
    </row>
    <row r="53" spans="1:40" s="8" customFormat="1" ht="61" customHeight="1">
      <c r="A53" s="119"/>
      <c r="B53" s="14"/>
      <c r="C53" s="14"/>
      <c r="D53" s="1407" t="s">
        <v>473</v>
      </c>
      <c r="E53" s="1408"/>
      <c r="F53" s="1409"/>
      <c r="G53" s="1410" t="s">
        <v>478</v>
      </c>
      <c r="H53" s="1411"/>
      <c r="I53" s="1411"/>
      <c r="J53" s="1411"/>
      <c r="K53" s="1411"/>
      <c r="L53" s="1411"/>
      <c r="M53" s="1411"/>
      <c r="N53" s="1411"/>
      <c r="O53" s="1411"/>
      <c r="P53" s="1411"/>
      <c r="Q53" s="1411"/>
      <c r="R53" s="1411"/>
      <c r="S53" s="1411"/>
      <c r="T53" s="1411"/>
      <c r="U53" s="1411"/>
      <c r="V53" s="1411"/>
      <c r="W53" s="1411"/>
      <c r="X53" s="1411"/>
      <c r="Y53" s="1411"/>
      <c r="Z53" s="1411"/>
      <c r="AA53" s="1411"/>
      <c r="AB53" s="1411"/>
      <c r="AC53" s="1411"/>
      <c r="AD53" s="1412"/>
      <c r="AE53" s="14"/>
    </row>
    <row r="54" spans="1:40" s="8" customFormat="1" ht="12" customHeight="1">
      <c r="A54" s="119"/>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row>
    <row r="55" spans="1:40" s="8" customFormat="1" ht="12" customHeight="1">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row>
    <row r="56" spans="1:40" s="8" customFormat="1" ht="12" customHeight="1">
      <c r="A56" s="119"/>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row>
    <row r="57" spans="1:40" s="8" customFormat="1" ht="20">
      <c r="A57" s="119"/>
      <c r="B57" s="14"/>
      <c r="C57" s="430" t="s">
        <v>83</v>
      </c>
      <c r="D57" s="14"/>
      <c r="E57" s="14"/>
      <c r="F57" s="14"/>
      <c r="G57" s="14"/>
      <c r="H57" s="14"/>
      <c r="I57" s="14"/>
      <c r="J57" s="14"/>
      <c r="K57" s="14"/>
      <c r="L57" s="14"/>
      <c r="M57" s="14"/>
      <c r="N57" s="14"/>
      <c r="O57" s="14"/>
      <c r="P57" s="14"/>
      <c r="Q57" s="14"/>
      <c r="R57" s="14"/>
      <c r="S57" s="14"/>
      <c r="T57" s="14"/>
      <c r="U57" s="14"/>
      <c r="V57" s="14"/>
      <c r="W57" s="14"/>
      <c r="X57" s="14"/>
      <c r="Y57" s="14"/>
      <c r="Z57"/>
      <c r="AA57" s="14"/>
      <c r="AB57" s="14"/>
      <c r="AC57" s="14"/>
      <c r="AE57" s="14"/>
      <c r="AF57" s="14"/>
      <c r="AG57" s="14"/>
      <c r="AH57" s="14"/>
      <c r="AI57" s="14"/>
      <c r="AJ57" s="14"/>
      <c r="AK57" s="14"/>
      <c r="AL57" s="14"/>
      <c r="AM57" s="14"/>
    </row>
    <row r="58" spans="1:40" s="8" customFormat="1">
      <c r="A58" s="119"/>
      <c r="B58" s="14"/>
      <c r="C58" s="6"/>
      <c r="D58" s="14"/>
      <c r="E58" s="14"/>
      <c r="F58" s="14"/>
      <c r="G58" s="14"/>
      <c r="H58" s="14"/>
      <c r="I58" s="14"/>
      <c r="J58" s="14"/>
      <c r="K58" s="14"/>
      <c r="L58" s="14"/>
      <c r="M58" s="14"/>
      <c r="N58" s="14"/>
      <c r="O58" s="14"/>
      <c r="P58" s="14"/>
      <c r="Q58" s="14"/>
      <c r="R58" s="14"/>
      <c r="S58" s="14"/>
      <c r="T58" s="14"/>
      <c r="U58" s="14"/>
      <c r="V58" s="14"/>
      <c r="W58" s="14"/>
      <c r="X58" s="14"/>
      <c r="Y58" s="14"/>
      <c r="Z58"/>
      <c r="AA58" s="14"/>
      <c r="AB58" s="14"/>
      <c r="AC58" s="14"/>
      <c r="AE58" s="14"/>
      <c r="AF58" s="14"/>
      <c r="AG58" s="14"/>
      <c r="AH58" s="14"/>
      <c r="AI58" s="14"/>
      <c r="AJ58" s="14"/>
      <c r="AK58" s="14"/>
      <c r="AL58" s="14"/>
      <c r="AM58" s="14"/>
    </row>
    <row r="59" spans="1:40" s="8" customFormat="1">
      <c r="A59" s="119"/>
      <c r="B59" s="14"/>
      <c r="C59" s="1449" t="s">
        <v>97</v>
      </c>
      <c r="D59" s="1450"/>
      <c r="E59" s="1450"/>
      <c r="F59" s="14"/>
      <c r="G59" s="14"/>
      <c r="H59" s="14"/>
      <c r="I59" s="14"/>
      <c r="J59" s="14"/>
      <c r="K59" s="14"/>
      <c r="L59" s="14"/>
      <c r="M59" s="14"/>
      <c r="N59" s="14"/>
      <c r="O59" s="14"/>
      <c r="P59" s="14"/>
      <c r="Q59" s="14"/>
      <c r="R59" s="14"/>
      <c r="S59" s="14"/>
      <c r="T59" s="14"/>
      <c r="U59" s="14"/>
      <c r="V59" s="14"/>
      <c r="W59" s="14"/>
      <c r="X59" s="14"/>
      <c r="Y59" s="14"/>
      <c r="Z59"/>
      <c r="AA59" s="14"/>
      <c r="AB59" s="14"/>
      <c r="AC59" s="14"/>
      <c r="AE59" s="14"/>
      <c r="AF59" s="14"/>
      <c r="AG59" s="14"/>
      <c r="AH59" s="14"/>
      <c r="AI59" s="14"/>
      <c r="AJ59" s="14"/>
      <c r="AK59" s="14"/>
      <c r="AL59" s="14"/>
      <c r="AM59" s="14"/>
    </row>
    <row r="60" spans="1:40" s="8" customFormat="1">
      <c r="A60" s="119"/>
      <c r="B60" s="14"/>
      <c r="C60" s="6" t="s">
        <v>193</v>
      </c>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E60" s="14"/>
      <c r="AF60" s="14"/>
      <c r="AG60" s="14"/>
      <c r="AH60" s="14"/>
      <c r="AI60" s="14"/>
      <c r="AJ60" s="14"/>
      <c r="AK60" s="14"/>
      <c r="AL60" s="14"/>
      <c r="AM60" s="14"/>
    </row>
    <row r="61" spans="1:40" s="8" customFormat="1">
      <c r="A61" s="119"/>
      <c r="B61" s="14"/>
      <c r="C61" s="77"/>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E61" s="14"/>
      <c r="AF61" s="14"/>
      <c r="AG61" s="14"/>
      <c r="AH61" s="14"/>
      <c r="AI61" s="14"/>
      <c r="AJ61" s="14"/>
      <c r="AK61" s="14"/>
      <c r="AL61" s="14"/>
      <c r="AM61" s="14"/>
    </row>
    <row r="62" spans="1:40" s="8" customFormat="1" ht="14">
      <c r="A62" s="119"/>
      <c r="B62" s="14"/>
      <c r="C62" s="693"/>
      <c r="D62"/>
      <c r="E62"/>
      <c r="F62" s="718"/>
      <c r="G62" s="718"/>
      <c r="H62" s="718"/>
      <c r="I62" s="718"/>
      <c r="J62" s="693"/>
      <c r="K62" s="693"/>
      <c r="L62" s="693"/>
      <c r="M62" s="693"/>
      <c r="N62" s="693"/>
      <c r="O62" s="693"/>
      <c r="P62"/>
      <c r="Q62"/>
      <c r="R62" s="693"/>
      <c r="S62" s="693"/>
      <c r="T62" s="693"/>
      <c r="U62" s="693"/>
      <c r="V62" s="693"/>
      <c r="W62" s="693"/>
      <c r="X62" s="693"/>
      <c r="Y62" s="693"/>
      <c r="Z62"/>
      <c r="AA62"/>
      <c r="AB62" s="693"/>
      <c r="AC62" s="693"/>
      <c r="AD62" s="693"/>
    </row>
    <row r="63" spans="1:40" s="8" customFormat="1">
      <c r="A63" s="119"/>
      <c r="B63" s="14"/>
      <c r="D63" s="6" t="s">
        <v>69</v>
      </c>
      <c r="E63" s="14"/>
      <c r="F63" s="28"/>
      <c r="G63" s="27"/>
      <c r="H63" s="27"/>
      <c r="I63" s="14"/>
      <c r="J63" s="14"/>
      <c r="K63" s="14"/>
      <c r="L63" s="6" t="s">
        <v>70</v>
      </c>
      <c r="M63" s="14"/>
      <c r="N63" s="6"/>
      <c r="P63" s="16"/>
      <c r="Q63" s="14"/>
      <c r="R63" s="14"/>
      <c r="S63" s="6" t="s">
        <v>225</v>
      </c>
      <c r="T63" s="14"/>
      <c r="U63" s="14"/>
      <c r="V63" s="14"/>
      <c r="W63" s="14"/>
      <c r="X63" s="14"/>
      <c r="Y63" s="319" t="s">
        <v>82</v>
      </c>
      <c r="Z63" s="320"/>
      <c r="AA63" s="320"/>
      <c r="AB63" s="1451" t="s">
        <v>432</v>
      </c>
      <c r="AC63" s="1451"/>
      <c r="AD63" s="1451"/>
      <c r="AE63" s="1451"/>
      <c r="AF63" s="1451"/>
      <c r="AG63" s="1451"/>
      <c r="AH63" s="1451"/>
      <c r="AI63" s="1451"/>
    </row>
    <row r="64" spans="1:40" s="8" customFormat="1" ht="14">
      <c r="A64" s="119"/>
      <c r="B64" s="6"/>
      <c r="C64" s="693"/>
      <c r="D64" s="718"/>
      <c r="E64" s="718"/>
      <c r="F64" s="718"/>
      <c r="G64" s="718"/>
      <c r="H64" s="718"/>
      <c r="I64" s="718"/>
      <c r="J64" s="693"/>
      <c r="K64" s="693"/>
      <c r="L64" s="693"/>
      <c r="M64" s="693"/>
      <c r="N64" s="693"/>
      <c r="O64" s="693"/>
      <c r="P64" s="693"/>
      <c r="Q64" s="693"/>
      <c r="R64" s="693"/>
      <c r="S64" s="693"/>
      <c r="T64" s="693"/>
      <c r="U64" s="693"/>
      <c r="V64" s="693"/>
      <c r="W64" s="693"/>
      <c r="X64" s="693"/>
      <c r="Y64" s="325"/>
      <c r="Z64" s="325"/>
      <c r="AA64" s="325"/>
      <c r="AB64" s="1452" t="s">
        <v>440</v>
      </c>
      <c r="AC64" s="1452"/>
      <c r="AD64" s="1452"/>
      <c r="AE64" s="1452"/>
      <c r="AF64" s="1452"/>
      <c r="AG64" s="1452"/>
      <c r="AH64" s="1452"/>
      <c r="AI64" s="1452"/>
    </row>
    <row r="65" spans="3:50" ht="14">
      <c r="C65" s="693"/>
      <c r="D65" s="757" t="s">
        <v>13</v>
      </c>
      <c r="E65" s="757" t="s">
        <v>14</v>
      </c>
      <c r="F65" s="758"/>
      <c r="G65" s="759"/>
      <c r="H65" s="48"/>
      <c r="I65" s="718"/>
      <c r="J65" s="693"/>
      <c r="K65" s="693"/>
      <c r="L65" s="699" t="s">
        <v>13</v>
      </c>
      <c r="M65" s="699" t="s">
        <v>14</v>
      </c>
      <c r="N65" s="719"/>
      <c r="O65" s="700"/>
      <c r="S65" s="699" t="s">
        <v>13</v>
      </c>
      <c r="T65" s="699" t="s">
        <v>57</v>
      </c>
      <c r="U65" s="719"/>
      <c r="V65" s="700"/>
      <c r="W65" s="693"/>
      <c r="X65" s="693"/>
      <c r="Y65" s="742"/>
      <c r="Z65" s="742"/>
      <c r="AA65" s="742"/>
      <c r="AB65" s="929"/>
      <c r="AC65" s="929"/>
      <c r="AD65" s="929"/>
      <c r="AE65" s="929"/>
      <c r="AF65" s="929"/>
      <c r="AG65" s="929"/>
      <c r="AH65" s="929"/>
      <c r="AI65" s="929"/>
    </row>
    <row r="66" spans="3:50" ht="14">
      <c r="C66" s="693"/>
      <c r="D66" s="757" t="s">
        <v>57</v>
      </c>
      <c r="E66" s="757" t="s">
        <v>27</v>
      </c>
      <c r="F66" s="760" t="s">
        <v>47</v>
      </c>
      <c r="G66" s="761" t="s">
        <v>235</v>
      </c>
      <c r="H66" s="48"/>
      <c r="I66" s="718"/>
      <c r="J66" s="693"/>
      <c r="K66" s="693"/>
      <c r="L66" s="699" t="s">
        <v>57</v>
      </c>
      <c r="M66" s="701" t="s">
        <v>27</v>
      </c>
      <c r="N66" s="720" t="s">
        <v>47</v>
      </c>
      <c r="O66" s="721" t="s">
        <v>235</v>
      </c>
      <c r="S66" s="699" t="s">
        <v>14</v>
      </c>
      <c r="T66" s="701" t="s">
        <v>59</v>
      </c>
      <c r="U66" s="720" t="s">
        <v>58</v>
      </c>
      <c r="V66" s="721" t="s">
        <v>235</v>
      </c>
      <c r="W66" s="693"/>
      <c r="X66" s="693"/>
      <c r="Y66" s="743"/>
      <c r="Z66" s="743" t="s">
        <v>57</v>
      </c>
      <c r="AA66" s="744" t="s">
        <v>14</v>
      </c>
      <c r="AB66" s="744" t="s">
        <v>131</v>
      </c>
      <c r="AC66" s="744"/>
      <c r="AD66" s="744"/>
      <c r="AE66" s="744"/>
      <c r="AF66" s="744"/>
      <c r="AG66" s="744"/>
      <c r="AH66" s="744"/>
      <c r="AI66" s="745"/>
    </row>
    <row r="67" spans="3:50" ht="14">
      <c r="C67" s="693"/>
      <c r="D67" s="757" t="s">
        <v>59</v>
      </c>
      <c r="E67" s="762">
        <v>105</v>
      </c>
      <c r="F67" s="763">
        <v>64</v>
      </c>
      <c r="G67" s="764">
        <v>169</v>
      </c>
      <c r="H67" s="48"/>
      <c r="I67" s="718"/>
      <c r="J67" s="693"/>
      <c r="K67" s="693"/>
      <c r="L67" s="701" t="s">
        <v>59</v>
      </c>
      <c r="M67" s="704">
        <v>0.62130177514792895</v>
      </c>
      <c r="N67" s="749">
        <v>0.378698224852071</v>
      </c>
      <c r="O67" s="734">
        <v>1</v>
      </c>
      <c r="S67" s="701" t="s">
        <v>47</v>
      </c>
      <c r="T67" s="706">
        <v>0.53333333333333333</v>
      </c>
      <c r="U67" s="725">
        <v>0.46666666666666667</v>
      </c>
      <c r="V67" s="734">
        <v>1</v>
      </c>
      <c r="W67" s="693"/>
      <c r="X67" s="693"/>
      <c r="Y67" s="774"/>
      <c r="Z67" s="743" t="s">
        <v>59</v>
      </c>
      <c r="AA67" s="744"/>
      <c r="AB67" s="744"/>
      <c r="AC67" s="744"/>
      <c r="AD67" s="743" t="s">
        <v>58</v>
      </c>
      <c r="AE67" s="744"/>
      <c r="AF67" s="744"/>
      <c r="AG67" s="744"/>
      <c r="AH67" s="743" t="s">
        <v>133</v>
      </c>
      <c r="AI67" s="747" t="s">
        <v>134</v>
      </c>
    </row>
    <row r="68" spans="3:50" ht="14">
      <c r="C68" s="693"/>
      <c r="D68" s="765" t="s">
        <v>58</v>
      </c>
      <c r="E68" s="766">
        <v>95</v>
      </c>
      <c r="F68" s="767">
        <v>56</v>
      </c>
      <c r="G68" s="768">
        <v>151</v>
      </c>
      <c r="H68" s="48"/>
      <c r="I68" s="718"/>
      <c r="J68" s="693"/>
      <c r="K68" s="693"/>
      <c r="L68" s="708" t="s">
        <v>58</v>
      </c>
      <c r="M68" s="709">
        <v>0.62913907284768211</v>
      </c>
      <c r="N68" s="752">
        <v>0.37086092715231789</v>
      </c>
      <c r="O68" s="735">
        <v>1</v>
      </c>
      <c r="S68" s="708" t="s">
        <v>27</v>
      </c>
      <c r="T68" s="711">
        <v>0.52500000000000002</v>
      </c>
      <c r="U68" s="729">
        <v>0.47499999999999998</v>
      </c>
      <c r="V68" s="735">
        <v>1</v>
      </c>
      <c r="W68" s="693"/>
      <c r="X68" s="693"/>
      <c r="Y68" s="774"/>
      <c r="Z68" s="743" t="s">
        <v>47</v>
      </c>
      <c r="AA68" s="744"/>
      <c r="AB68" s="743" t="s">
        <v>27</v>
      </c>
      <c r="AC68" s="744"/>
      <c r="AD68" s="743" t="s">
        <v>47</v>
      </c>
      <c r="AE68" s="744"/>
      <c r="AF68" s="743" t="s">
        <v>27</v>
      </c>
      <c r="AG68" s="744"/>
      <c r="AH68" s="774"/>
      <c r="AI68" s="775"/>
      <c r="AJ68" s="693"/>
      <c r="AK68" s="693"/>
      <c r="AL68" s="693"/>
      <c r="AM68" s="693"/>
    </row>
    <row r="69" spans="3:50" ht="14">
      <c r="C69" s="693"/>
      <c r="D69" s="769" t="s">
        <v>235</v>
      </c>
      <c r="E69" s="770">
        <v>200</v>
      </c>
      <c r="F69" s="771">
        <v>120</v>
      </c>
      <c r="G69" s="772">
        <v>320</v>
      </c>
      <c r="H69" s="48"/>
      <c r="I69" s="718"/>
      <c r="J69" s="693"/>
      <c r="K69" s="693"/>
      <c r="L69" s="713" t="s">
        <v>235</v>
      </c>
      <c r="M69" s="714">
        <v>0.625</v>
      </c>
      <c r="N69" s="755">
        <v>0.375</v>
      </c>
      <c r="O69" s="736">
        <v>1</v>
      </c>
      <c r="S69" s="713" t="s">
        <v>235</v>
      </c>
      <c r="T69" s="716">
        <v>0.52812499999999996</v>
      </c>
      <c r="U69" s="730">
        <v>0.47187499999999999</v>
      </c>
      <c r="V69" s="736">
        <v>1</v>
      </c>
      <c r="W69" s="693"/>
      <c r="X69" s="693"/>
      <c r="Y69" s="743" t="s">
        <v>12</v>
      </c>
      <c r="Z69" s="743" t="s">
        <v>13</v>
      </c>
      <c r="AA69" s="746" t="s">
        <v>132</v>
      </c>
      <c r="AB69" s="743" t="s">
        <v>13</v>
      </c>
      <c r="AC69" s="746" t="s">
        <v>132</v>
      </c>
      <c r="AD69" s="743" t="s">
        <v>13</v>
      </c>
      <c r="AE69" s="746" t="s">
        <v>132</v>
      </c>
      <c r="AF69" s="743" t="s">
        <v>13</v>
      </c>
      <c r="AG69" s="746" t="s">
        <v>132</v>
      </c>
      <c r="AH69" s="774"/>
      <c r="AI69" s="775"/>
    </row>
    <row r="70" spans="3:50" ht="14">
      <c r="C70" s="693"/>
      <c r="D70" s="48"/>
      <c r="E70" s="48"/>
      <c r="F70" s="48"/>
      <c r="G70" s="48"/>
      <c r="H70" s="48"/>
      <c r="I70" s="718"/>
      <c r="J70" s="693"/>
      <c r="K70" s="693"/>
      <c r="L70" s="693"/>
      <c r="M70" s="693"/>
      <c r="N70" s="693"/>
      <c r="O70" s="693"/>
      <c r="P70" s="48"/>
      <c r="Q70" s="48"/>
      <c r="R70" s="48"/>
      <c r="S70" s="48"/>
      <c r="T70" s="48"/>
      <c r="U70" s="693"/>
      <c r="V70" s="693"/>
      <c r="W70" s="693"/>
      <c r="X70" s="693"/>
      <c r="Y70" s="743" t="s">
        <v>3</v>
      </c>
      <c r="Z70" s="748">
        <v>38</v>
      </c>
      <c r="AA70" s="776">
        <v>0.21965317919075145</v>
      </c>
      <c r="AB70" s="748">
        <v>68</v>
      </c>
      <c r="AC70" s="776">
        <v>0.39306358381502893</v>
      </c>
      <c r="AD70" s="748">
        <v>19</v>
      </c>
      <c r="AE70" s="776">
        <v>0.10982658959537572</v>
      </c>
      <c r="AF70" s="748">
        <v>48</v>
      </c>
      <c r="AG70" s="776">
        <v>0.2774566473988439</v>
      </c>
      <c r="AH70" s="748">
        <v>173</v>
      </c>
      <c r="AI70" s="778">
        <v>1</v>
      </c>
    </row>
    <row r="71" spans="3:50" ht="14">
      <c r="D71"/>
      <c r="E71"/>
      <c r="F71"/>
      <c r="G71"/>
      <c r="H71" s="25"/>
      <c r="I71" s="25"/>
      <c r="N71" s="8"/>
      <c r="P71"/>
      <c r="Q71"/>
      <c r="R71"/>
      <c r="S71"/>
      <c r="Y71" s="750" t="s">
        <v>49</v>
      </c>
      <c r="Z71" s="751">
        <v>10</v>
      </c>
      <c r="AA71" s="779">
        <v>0.2857142857142857</v>
      </c>
      <c r="AB71" s="751">
        <v>6</v>
      </c>
      <c r="AC71" s="779">
        <v>0.17142857142857143</v>
      </c>
      <c r="AD71" s="751">
        <v>17</v>
      </c>
      <c r="AE71" s="779">
        <v>0.48571428571428571</v>
      </c>
      <c r="AF71" s="751">
        <v>2</v>
      </c>
      <c r="AG71" s="779">
        <v>5.7142857142857141E-2</v>
      </c>
      <c r="AH71" s="751">
        <v>35</v>
      </c>
      <c r="AI71" s="781">
        <v>1</v>
      </c>
    </row>
    <row r="72" spans="3:50" ht="14">
      <c r="D72" s="25"/>
      <c r="E72" s="26"/>
      <c r="F72" s="25"/>
      <c r="G72" s="25"/>
      <c r="H72" s="25"/>
      <c r="I72" s="25"/>
      <c r="N72" s="8"/>
      <c r="P72" s="17"/>
      <c r="Q72" s="18"/>
      <c r="R72" s="18"/>
      <c r="S72" s="19"/>
      <c r="Y72" s="750" t="s">
        <v>50</v>
      </c>
      <c r="Z72" s="751">
        <v>14</v>
      </c>
      <c r="AA72" s="779">
        <v>0.14141414141414141</v>
      </c>
      <c r="AB72" s="751">
        <v>25</v>
      </c>
      <c r="AC72" s="779">
        <v>0.25252525252525254</v>
      </c>
      <c r="AD72" s="751">
        <v>19</v>
      </c>
      <c r="AE72" s="779">
        <v>0.19191919191919191</v>
      </c>
      <c r="AF72" s="751">
        <v>41</v>
      </c>
      <c r="AG72" s="779">
        <v>0.41414141414141414</v>
      </c>
      <c r="AH72" s="751">
        <v>99</v>
      </c>
      <c r="AI72" s="781">
        <v>1</v>
      </c>
    </row>
    <row r="73" spans="3:50" ht="14">
      <c r="D73" s="8"/>
      <c r="E73" s="8"/>
      <c r="F73" s="8"/>
      <c r="G73" s="25"/>
      <c r="H73" s="25"/>
      <c r="I73" s="25"/>
      <c r="P73" s="17"/>
      <c r="Q73" s="18"/>
      <c r="R73" s="18"/>
      <c r="S73" s="19"/>
      <c r="Y73" s="750" t="s">
        <v>51</v>
      </c>
      <c r="Z73" s="751">
        <v>2</v>
      </c>
      <c r="AA73" s="779">
        <v>0.15384615384615385</v>
      </c>
      <c r="AB73" s="751">
        <v>6</v>
      </c>
      <c r="AC73" s="779">
        <v>0.46153846153846156</v>
      </c>
      <c r="AD73" s="751">
        <v>1</v>
      </c>
      <c r="AE73" s="779">
        <v>7.6923076923076927E-2</v>
      </c>
      <c r="AF73" s="751">
        <v>4</v>
      </c>
      <c r="AG73" s="779">
        <v>0.30769230769230771</v>
      </c>
      <c r="AH73" s="751">
        <v>13</v>
      </c>
      <c r="AI73" s="781">
        <v>1</v>
      </c>
    </row>
    <row r="74" spans="3:50">
      <c r="D74" s="20"/>
      <c r="E74" s="21"/>
      <c r="F74" s="21"/>
      <c r="P74" s="17"/>
      <c r="Q74" s="18"/>
      <c r="R74" s="18"/>
      <c r="S74" s="19"/>
      <c r="Y74" s="593" t="s">
        <v>235</v>
      </c>
      <c r="Z74" s="594">
        <v>64</v>
      </c>
      <c r="AA74" s="609">
        <v>0.2</v>
      </c>
      <c r="AB74" s="594">
        <v>105</v>
      </c>
      <c r="AC74" s="609">
        <v>0.328125</v>
      </c>
      <c r="AD74" s="594">
        <v>56</v>
      </c>
      <c r="AE74" s="609">
        <v>0.17499999999999999</v>
      </c>
      <c r="AF74" s="594">
        <v>95</v>
      </c>
      <c r="AG74" s="609">
        <v>0.296875</v>
      </c>
      <c r="AH74" s="594">
        <v>320</v>
      </c>
      <c r="AI74" s="611">
        <v>1</v>
      </c>
    </row>
    <row r="75" spans="3:50">
      <c r="D75" s="20"/>
      <c r="E75" s="21"/>
      <c r="F75" s="21"/>
      <c r="P75" s="17"/>
      <c r="Q75" s="18"/>
      <c r="R75" s="18"/>
      <c r="S75" s="19"/>
      <c r="Y75"/>
      <c r="Z75"/>
      <c r="AA75"/>
      <c r="AB75"/>
      <c r="AC75"/>
      <c r="AD75"/>
      <c r="AE75"/>
    </row>
    <row r="76" spans="3:50" ht="14">
      <c r="D76" s="20"/>
      <c r="E76" s="21"/>
      <c r="F76" s="21"/>
      <c r="P76" s="17"/>
      <c r="Q76" s="18"/>
      <c r="R76" s="18"/>
      <c r="S76" s="19"/>
      <c r="Y76"/>
      <c r="Z76"/>
      <c r="AA76"/>
      <c r="AB76"/>
      <c r="AC76"/>
      <c r="AD76"/>
      <c r="AE76"/>
      <c r="AP76" s="48"/>
      <c r="AQ76" s="48"/>
      <c r="AR76" s="789"/>
      <c r="AS76" s="789"/>
      <c r="AT76" s="789"/>
      <c r="AU76" s="789"/>
      <c r="AV76" s="789"/>
      <c r="AW76" s="789"/>
      <c r="AX76" s="789"/>
    </row>
    <row r="77" spans="3:50" ht="14">
      <c r="D77" s="20"/>
      <c r="E77" s="21"/>
      <c r="F77" s="21"/>
      <c r="Y77"/>
      <c r="Z77"/>
      <c r="AA77"/>
      <c r="AB77"/>
      <c r="AC77"/>
      <c r="AD77"/>
      <c r="AE77"/>
      <c r="AP77" s="48"/>
      <c r="AQ77" s="48"/>
      <c r="AR77" s="789"/>
      <c r="AS77" s="789"/>
      <c r="AT77" s="789"/>
      <c r="AU77" s="789"/>
      <c r="AV77" s="789"/>
      <c r="AW77" s="789"/>
      <c r="AX77" s="789"/>
    </row>
    <row r="78" spans="3:50" ht="14">
      <c r="D78" s="20"/>
      <c r="E78" s="21"/>
      <c r="F78" s="21"/>
      <c r="Y78"/>
      <c r="Z78"/>
      <c r="AA78"/>
      <c r="AB78"/>
      <c r="AC78"/>
      <c r="AD78"/>
      <c r="AE78"/>
      <c r="AP78" s="48"/>
      <c r="AQ78" s="48"/>
      <c r="AR78" s="789"/>
      <c r="AS78" s="789"/>
      <c r="AT78" s="789"/>
      <c r="AU78" s="789"/>
      <c r="AV78" s="789"/>
      <c r="AW78" s="789"/>
      <c r="AX78" s="789"/>
    </row>
    <row r="79" spans="3:50" ht="14">
      <c r="D79" s="20"/>
      <c r="E79" s="21"/>
      <c r="F79" s="21"/>
      <c r="Y79"/>
      <c r="Z79"/>
      <c r="AA79"/>
      <c r="AB79"/>
      <c r="AC79"/>
      <c r="AD79"/>
      <c r="AE79"/>
      <c r="AP79" s="48"/>
      <c r="AQ79" s="48"/>
      <c r="AR79" s="790"/>
      <c r="AS79" s="790"/>
      <c r="AT79" s="790"/>
      <c r="AU79" s="790"/>
      <c r="AV79" s="790"/>
      <c r="AW79" s="790"/>
      <c r="AX79" s="790"/>
    </row>
    <row r="80" spans="3:50" ht="14">
      <c r="D80" s="20"/>
      <c r="E80" s="21"/>
      <c r="F80" s="21"/>
      <c r="Y80"/>
      <c r="Z80"/>
      <c r="AA80"/>
      <c r="AB80"/>
      <c r="AC80"/>
      <c r="AD80"/>
      <c r="AE80"/>
      <c r="AP80" s="48"/>
      <c r="AQ80" s="48"/>
      <c r="AR80" s="790"/>
      <c r="AS80" s="790"/>
      <c r="AT80" s="790"/>
      <c r="AU80" s="790"/>
      <c r="AV80" s="790"/>
      <c r="AW80" s="790"/>
      <c r="AX80" s="790"/>
    </row>
    <row r="81" spans="1:50" ht="14">
      <c r="D81" s="20"/>
      <c r="E81" s="21"/>
      <c r="F81" s="21"/>
      <c r="AP81" s="48"/>
      <c r="AQ81" s="48"/>
      <c r="AR81" s="790"/>
      <c r="AS81" s="790"/>
      <c r="AT81" s="790"/>
      <c r="AU81" s="790"/>
      <c r="AV81" s="790"/>
      <c r="AW81" s="790"/>
      <c r="AX81" s="790"/>
    </row>
    <row r="82" spans="1:50" ht="14">
      <c r="D82" s="20"/>
      <c r="E82" s="21"/>
      <c r="F82" s="21"/>
      <c r="AP82" s="48"/>
      <c r="AQ82" s="48"/>
      <c r="AR82" s="790"/>
      <c r="AS82" s="790"/>
      <c r="AT82" s="790"/>
      <c r="AU82" s="790"/>
      <c r="AV82" s="790"/>
      <c r="AW82" s="790"/>
      <c r="AX82" s="790"/>
    </row>
    <row r="83" spans="1:50">
      <c r="D83" s="20"/>
      <c r="E83" s="21"/>
      <c r="F83" s="21"/>
      <c r="AR83" s="52"/>
      <c r="AS83" s="52"/>
      <c r="AT83" s="52"/>
      <c r="AU83" s="52"/>
      <c r="AV83" s="52"/>
      <c r="AW83" s="52"/>
      <c r="AX83" s="52"/>
    </row>
    <row r="84" spans="1:50">
      <c r="D84" s="20"/>
      <c r="E84" s="21"/>
      <c r="F84" s="21"/>
      <c r="AR84" s="8"/>
      <c r="AS84" s="8"/>
      <c r="AT84" s="8"/>
      <c r="AU84" s="8"/>
      <c r="AV84" s="8"/>
      <c r="AW84" s="8"/>
      <c r="AX84" s="8"/>
    </row>
    <row r="85" spans="1:50">
      <c r="D85" s="20"/>
      <c r="E85" s="21"/>
      <c r="F85" s="21"/>
      <c r="AP85" s="8"/>
      <c r="AQ85" s="8"/>
      <c r="AR85" s="8"/>
      <c r="AS85" s="8"/>
      <c r="AT85" s="8"/>
      <c r="AU85" s="8"/>
      <c r="AV85" s="8"/>
      <c r="AW85" s="8"/>
      <c r="AX85" s="8"/>
    </row>
    <row r="86" spans="1:50" s="1043" customFormat="1">
      <c r="A86" s="119"/>
      <c r="B86" s="14"/>
      <c r="C86" s="14"/>
      <c r="D86" s="20"/>
      <c r="E86" s="21"/>
      <c r="F86" s="21"/>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P86" s="8"/>
      <c r="AQ86" s="8"/>
      <c r="AR86" s="8"/>
      <c r="AS86" s="8"/>
      <c r="AT86" s="8"/>
      <c r="AU86" s="8"/>
      <c r="AV86" s="8"/>
      <c r="AW86" s="8"/>
      <c r="AX86" s="8"/>
    </row>
    <row r="87" spans="1:50" s="1043" customFormat="1">
      <c r="A87" s="119"/>
      <c r="B87" s="14"/>
      <c r="C87" s="14"/>
      <c r="D87" s="20"/>
      <c r="E87" s="21"/>
      <c r="F87" s="21"/>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P87" s="8"/>
      <c r="AQ87" s="8"/>
      <c r="AR87" s="8"/>
      <c r="AS87" s="8"/>
      <c r="AT87" s="8"/>
      <c r="AU87" s="8"/>
      <c r="AV87" s="8"/>
      <c r="AW87" s="8"/>
      <c r="AX87" s="8"/>
    </row>
    <row r="88" spans="1:50" s="1043" customFormat="1">
      <c r="A88" s="119"/>
      <c r="B88" s="14"/>
      <c r="C88" s="14"/>
      <c r="D88" s="20"/>
      <c r="E88" s="21"/>
      <c r="F88" s="21"/>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P88" s="8"/>
      <c r="AQ88" s="8"/>
      <c r="AR88" s="8"/>
      <c r="AS88" s="8"/>
      <c r="AT88" s="8"/>
      <c r="AU88" s="8"/>
      <c r="AV88" s="8"/>
      <c r="AW88" s="8"/>
      <c r="AX88" s="8"/>
    </row>
    <row r="89" spans="1:50" s="1043" customFormat="1">
      <c r="A89" s="119"/>
      <c r="B89" s="14"/>
      <c r="C89" s="14"/>
      <c r="D89" s="20"/>
      <c r="E89" s="21"/>
      <c r="F89" s="21"/>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P89" s="8"/>
      <c r="AQ89" s="8"/>
      <c r="AR89" s="8"/>
      <c r="AS89" s="8"/>
      <c r="AT89" s="8"/>
      <c r="AU89" s="8"/>
      <c r="AV89" s="8"/>
      <c r="AW89" s="8"/>
      <c r="AX89" s="8"/>
    </row>
    <row r="90" spans="1:50">
      <c r="C90" s="23"/>
      <c r="E90" s="16"/>
      <c r="AF90" s="14"/>
      <c r="AG90" s="14"/>
      <c r="AH90" s="14"/>
      <c r="AI90" s="14"/>
      <c r="AJ90" s="14"/>
      <c r="AK90" s="14"/>
      <c r="AL90" s="14"/>
      <c r="AM90" s="14"/>
      <c r="AN90" s="8"/>
      <c r="AO90" s="8"/>
      <c r="AP90" s="8"/>
      <c r="AQ90" s="8"/>
      <c r="AR90" s="8"/>
      <c r="AS90" s="8"/>
      <c r="AT90" s="8"/>
      <c r="AU90" s="8"/>
      <c r="AV90" s="8"/>
      <c r="AW90" s="8"/>
      <c r="AX90" s="8"/>
    </row>
    <row r="91" spans="1:50">
      <c r="AF91" s="14"/>
      <c r="AG91" s="14"/>
      <c r="AH91" s="14"/>
      <c r="AI91" s="14"/>
      <c r="AJ91" s="14"/>
      <c r="AK91" s="14"/>
      <c r="AL91" s="14"/>
      <c r="AM91" s="14"/>
      <c r="AN91" s="8"/>
      <c r="AO91" s="8"/>
      <c r="AP91" s="8"/>
      <c r="AQ91" s="8"/>
      <c r="AR91" s="8"/>
      <c r="AS91" s="8"/>
      <c r="AT91" s="8"/>
      <c r="AU91" s="8"/>
      <c r="AV91" s="8"/>
      <c r="AW91" s="8"/>
      <c r="AX91" s="8"/>
    </row>
    <row r="92" spans="1:50" ht="46" customHeight="1">
      <c r="D92" s="1407" t="s">
        <v>472</v>
      </c>
      <c r="E92" s="1408"/>
      <c r="F92" s="1409"/>
      <c r="G92" s="1410" t="s">
        <v>477</v>
      </c>
      <c r="H92" s="1411"/>
      <c r="I92" s="1411"/>
      <c r="J92" s="1411"/>
      <c r="K92" s="1411"/>
      <c r="L92" s="1411"/>
      <c r="M92" s="1411"/>
      <c r="N92" s="1411"/>
      <c r="O92" s="1411"/>
      <c r="P92" s="1411"/>
      <c r="Q92" s="1411"/>
      <c r="R92" s="1411"/>
      <c r="S92" s="1411"/>
      <c r="T92" s="1411"/>
      <c r="U92" s="1411"/>
      <c r="V92" s="1411"/>
      <c r="W92" s="1411"/>
      <c r="X92" s="1411"/>
      <c r="Y92" s="1411"/>
      <c r="Z92" s="1411"/>
      <c r="AA92" s="1411"/>
      <c r="AB92" s="1411"/>
      <c r="AC92" s="1411"/>
      <c r="AD92" s="1412"/>
      <c r="AF92" s="14"/>
      <c r="AG92" s="14"/>
      <c r="AH92" s="14"/>
      <c r="AI92" s="14"/>
      <c r="AJ92" s="14"/>
      <c r="AK92" s="14"/>
      <c r="AL92" s="14"/>
      <c r="AM92" s="14"/>
      <c r="AN92" s="8"/>
      <c r="AO92" s="8"/>
      <c r="AP92" s="8"/>
      <c r="AQ92" s="8"/>
      <c r="AR92" s="8"/>
      <c r="AS92" s="8"/>
      <c r="AT92" s="8"/>
      <c r="AU92" s="8"/>
      <c r="AV92" s="8"/>
      <c r="AW92" s="8"/>
      <c r="AX92" s="8"/>
    </row>
    <row r="93" spans="1:50" ht="46" customHeight="1">
      <c r="D93" s="1407" t="s">
        <v>473</v>
      </c>
      <c r="E93" s="1408"/>
      <c r="F93" s="1409"/>
      <c r="G93" s="1410" t="s">
        <v>478</v>
      </c>
      <c r="H93" s="1411"/>
      <c r="I93" s="1411"/>
      <c r="J93" s="1411"/>
      <c r="K93" s="1411"/>
      <c r="L93" s="1411"/>
      <c r="M93" s="1411"/>
      <c r="N93" s="1411"/>
      <c r="O93" s="1411"/>
      <c r="P93" s="1411"/>
      <c r="Q93" s="1411"/>
      <c r="R93" s="1411"/>
      <c r="S93" s="1411"/>
      <c r="T93" s="1411"/>
      <c r="U93" s="1411"/>
      <c r="V93" s="1411"/>
      <c r="W93" s="1411"/>
      <c r="X93" s="1411"/>
      <c r="Y93" s="1411"/>
      <c r="Z93" s="1411"/>
      <c r="AA93" s="1411"/>
      <c r="AB93" s="1411"/>
      <c r="AC93" s="1411"/>
      <c r="AD93" s="1412"/>
      <c r="AF93" s="14"/>
      <c r="AG93" s="14"/>
      <c r="AH93" s="14"/>
      <c r="AI93" s="14"/>
      <c r="AJ93" s="14"/>
      <c r="AK93" s="14"/>
      <c r="AL93" s="14"/>
      <c r="AM93" s="14"/>
      <c r="AN93" s="8"/>
      <c r="AO93" s="8"/>
      <c r="AP93" s="8"/>
      <c r="AQ93" s="8"/>
      <c r="AR93" s="8"/>
      <c r="AS93" s="8"/>
      <c r="AT93" s="8"/>
      <c r="AU93" s="8"/>
      <c r="AV93" s="8"/>
      <c r="AW93" s="8"/>
      <c r="AX93" s="8"/>
    </row>
    <row r="95" spans="1:50">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row>
    <row r="98" spans="3:51" ht="20">
      <c r="C98" s="430" t="s">
        <v>93</v>
      </c>
      <c r="R98"/>
      <c r="AF98" s="8"/>
      <c r="AG98" s="14"/>
      <c r="AH98" s="14"/>
      <c r="AI98" s="14"/>
      <c r="AJ98" s="14"/>
      <c r="AK98" s="14"/>
      <c r="AL98" s="14"/>
      <c r="AM98" s="14"/>
      <c r="AN98" s="14"/>
      <c r="AO98" s="14"/>
      <c r="AP98" s="14"/>
      <c r="AQ98" s="8"/>
      <c r="AR98" s="8"/>
      <c r="AS98" s="8"/>
      <c r="AT98" s="8"/>
      <c r="AU98" s="8"/>
      <c r="AV98" s="8"/>
      <c r="AW98" s="8"/>
      <c r="AX98" s="8"/>
      <c r="AY98" s="8"/>
    </row>
    <row r="99" spans="3:51">
      <c r="C99" s="6"/>
      <c r="R99"/>
      <c r="AF99" s="8"/>
      <c r="AG99" s="14"/>
      <c r="AH99" s="14"/>
      <c r="AI99" s="14"/>
      <c r="AJ99" s="14"/>
      <c r="AK99" s="14"/>
      <c r="AL99" s="14"/>
      <c r="AM99" s="14"/>
      <c r="AN99" s="14"/>
      <c r="AO99" s="14"/>
      <c r="AP99" s="14"/>
      <c r="AQ99" s="8"/>
      <c r="AR99" s="8"/>
      <c r="AS99" s="8"/>
      <c r="AT99" s="8"/>
      <c r="AU99" s="8"/>
      <c r="AV99" s="8"/>
      <c r="AW99" s="8"/>
      <c r="AX99" s="8"/>
      <c r="AY99" s="8"/>
    </row>
    <row r="100" spans="3:51">
      <c r="C100" s="1449" t="s">
        <v>470</v>
      </c>
      <c r="D100" s="1406"/>
      <c r="R100"/>
      <c r="AF100" s="8"/>
      <c r="AG100" s="14"/>
      <c r="AH100" s="14"/>
      <c r="AI100" s="14"/>
      <c r="AJ100" s="14"/>
      <c r="AK100" s="14"/>
      <c r="AL100" s="14"/>
      <c r="AM100" s="14"/>
      <c r="AN100" s="14"/>
      <c r="AO100" s="14"/>
      <c r="AP100" s="14"/>
      <c r="AQ100" s="8"/>
      <c r="AR100" s="8"/>
      <c r="AS100" s="8"/>
      <c r="AT100" s="8"/>
      <c r="AU100" s="8"/>
      <c r="AV100" s="8"/>
      <c r="AW100" s="8"/>
      <c r="AX100" s="8"/>
      <c r="AY100" s="8"/>
    </row>
    <row r="101" spans="3:51">
      <c r="C101" s="63" t="s">
        <v>213</v>
      </c>
      <c r="D101" s="25"/>
      <c r="E101" s="25"/>
      <c r="F101" s="25"/>
      <c r="G101" s="25"/>
      <c r="H101" s="25"/>
      <c r="I101" s="25"/>
      <c r="J101" s="25"/>
      <c r="K101" s="25"/>
      <c r="L101" s="25"/>
      <c r="M101" s="25"/>
      <c r="N101" s="25"/>
      <c r="O101" s="25"/>
      <c r="P101" s="25"/>
      <c r="Q101" s="25"/>
      <c r="R101" s="50"/>
      <c r="S101" s="25"/>
      <c r="AF101" s="8"/>
      <c r="AG101" s="14"/>
      <c r="AH101" s="14"/>
      <c r="AI101" s="14"/>
      <c r="AJ101" s="14"/>
      <c r="AK101" s="14"/>
      <c r="AL101" s="14"/>
      <c r="AM101" s="14"/>
      <c r="AN101" s="14"/>
      <c r="AO101" s="14"/>
      <c r="AP101" s="14"/>
      <c r="AQ101" s="8"/>
      <c r="AR101" s="8"/>
      <c r="AS101" s="8"/>
      <c r="AT101" s="8"/>
      <c r="AU101" s="8"/>
      <c r="AV101" s="8"/>
      <c r="AW101" s="8"/>
      <c r="AX101" s="8"/>
      <c r="AY101" s="8"/>
    </row>
    <row r="102" spans="3:51">
      <c r="C102" s="63"/>
      <c r="D102" s="25"/>
      <c r="E102" s="25"/>
      <c r="F102" s="25"/>
      <c r="G102" s="25"/>
      <c r="H102" s="25"/>
      <c r="I102" s="25"/>
      <c r="J102" s="25"/>
      <c r="K102" s="25"/>
      <c r="L102" s="25"/>
      <c r="M102" s="25"/>
      <c r="N102" s="25"/>
      <c r="O102" s="25"/>
      <c r="P102" s="25"/>
      <c r="Q102" s="25"/>
      <c r="R102" s="50"/>
      <c r="S102" s="25"/>
      <c r="AF102" s="8"/>
      <c r="AG102" s="14"/>
      <c r="AH102" s="14"/>
      <c r="AI102" s="14"/>
      <c r="AJ102" s="14"/>
      <c r="AK102" s="14"/>
      <c r="AL102" s="14"/>
      <c r="AM102" s="14"/>
      <c r="AN102" s="14"/>
      <c r="AO102" s="14"/>
      <c r="AP102" s="14"/>
      <c r="AQ102" s="8"/>
      <c r="AR102" s="8"/>
      <c r="AS102" s="8"/>
      <c r="AT102" s="8"/>
      <c r="AU102" s="8"/>
      <c r="AV102" s="8"/>
      <c r="AW102" s="8"/>
      <c r="AX102" s="8"/>
      <c r="AY102" s="8"/>
    </row>
    <row r="103" spans="3:51">
      <c r="C103" s="328" t="s">
        <v>432</v>
      </c>
      <c r="D103" s="320"/>
      <c r="E103" s="320"/>
      <c r="F103" s="320"/>
      <c r="G103" s="320"/>
      <c r="H103" s="320"/>
      <c r="I103" s="320"/>
      <c r="J103" s="320"/>
      <c r="K103" s="320"/>
      <c r="L103" s="320"/>
      <c r="M103" s="320"/>
      <c r="N103" s="320"/>
      <c r="O103" s="320"/>
      <c r="P103" s="320"/>
      <c r="Q103" s="320"/>
      <c r="R103" s="325"/>
      <c r="S103" s="320"/>
      <c r="AF103" s="8"/>
      <c r="AG103" s="14"/>
      <c r="AH103" s="14"/>
      <c r="AI103" s="14"/>
      <c r="AJ103" s="14"/>
      <c r="AK103" s="14"/>
      <c r="AL103" s="14"/>
      <c r="AM103" s="14"/>
      <c r="AN103" s="14"/>
      <c r="AO103" s="14"/>
      <c r="AP103" s="14"/>
      <c r="AQ103" s="8"/>
      <c r="AR103" s="8"/>
      <c r="AS103" s="8"/>
      <c r="AT103" s="8"/>
      <c r="AU103" s="8"/>
      <c r="AV103" s="8"/>
      <c r="AW103" s="8"/>
      <c r="AX103" s="8"/>
      <c r="AY103" s="8"/>
    </row>
    <row r="104" spans="3:51">
      <c r="C104" s="1455" t="s">
        <v>441</v>
      </c>
      <c r="D104" s="1456"/>
      <c r="E104" s="1456"/>
      <c r="F104" s="1456"/>
      <c r="G104" s="1456"/>
      <c r="H104" s="1456"/>
      <c r="I104" s="1456"/>
      <c r="J104" s="1456"/>
      <c r="K104" s="1456"/>
      <c r="L104" s="1456"/>
      <c r="M104" s="1456"/>
      <c r="N104" s="1456"/>
      <c r="O104" s="1456"/>
      <c r="P104" s="1456"/>
      <c r="Q104" s="1456"/>
      <c r="R104" s="1456"/>
      <c r="S104" s="1456"/>
      <c r="T104" s="81"/>
      <c r="U104" s="81"/>
      <c r="V104" s="81"/>
      <c r="W104" s="81"/>
      <c r="X104" s="81"/>
      <c r="Y104" s="81"/>
      <c r="Z104" s="81"/>
      <c r="AA104" s="81"/>
      <c r="AB104" s="81"/>
      <c r="AC104" s="81"/>
      <c r="AD104" s="81"/>
      <c r="AE104" s="81"/>
      <c r="AF104" s="82"/>
      <c r="AG104" s="81"/>
      <c r="AH104" s="81"/>
      <c r="AI104" s="81"/>
      <c r="AJ104" s="81"/>
      <c r="AK104" s="81"/>
      <c r="AL104" s="81"/>
      <c r="AM104" s="81"/>
      <c r="AN104" s="81"/>
      <c r="AO104" s="81"/>
      <c r="AP104" s="81"/>
      <c r="AQ104" s="82"/>
      <c r="AR104" s="82"/>
      <c r="AS104" s="82"/>
      <c r="AT104" s="82"/>
      <c r="AU104" s="82"/>
      <c r="AV104" s="82"/>
      <c r="AW104" s="82"/>
      <c r="AX104" s="82"/>
      <c r="AY104" s="82"/>
    </row>
    <row r="105" spans="3:51">
      <c r="C105" s="77"/>
      <c r="AC105" s="8"/>
      <c r="AD105" s="8"/>
      <c r="AE105" s="8"/>
      <c r="AF105" s="8"/>
      <c r="AG105" s="8"/>
      <c r="AH105" s="8"/>
      <c r="AI105" s="8"/>
      <c r="AJ105" s="8"/>
      <c r="AK105" s="8"/>
      <c r="AL105" s="8"/>
      <c r="AM105" s="8"/>
      <c r="AN105" s="8"/>
      <c r="AO105" s="8"/>
      <c r="AP105" s="8"/>
      <c r="AQ105" s="8"/>
      <c r="AR105" s="8"/>
      <c r="AS105" s="8"/>
      <c r="AT105" s="8"/>
      <c r="AU105" s="8"/>
      <c r="AV105" s="8"/>
      <c r="AW105" s="8"/>
      <c r="AX105" s="8"/>
      <c r="AY105" s="8"/>
    </row>
    <row r="106" spans="3:51" ht="14">
      <c r="C106" s="693"/>
      <c r="D106"/>
      <c r="E106"/>
      <c r="F106" s="718"/>
      <c r="G106" s="718"/>
      <c r="H106" s="718"/>
      <c r="I106" s="718"/>
      <c r="J106" s="693"/>
      <c r="K106" s="693"/>
      <c r="L106" s="693"/>
      <c r="M106" s="693"/>
      <c r="N106" s="693"/>
      <c r="O106" s="693"/>
      <c r="P106" s="693"/>
      <c r="Q106" s="693"/>
      <c r="R106"/>
      <c r="S106"/>
      <c r="T106" s="693"/>
      <c r="U106" s="693"/>
      <c r="V106" s="693"/>
      <c r="W106" s="693"/>
      <c r="X106" s="693"/>
      <c r="Y106" s="693"/>
      <c r="Z106" s="693"/>
      <c r="AA106" s="693"/>
      <c r="AB106"/>
      <c r="AC106"/>
      <c r="AD106" s="693"/>
      <c r="AE106" s="693"/>
      <c r="AF106" s="694"/>
      <c r="AV106" s="694"/>
      <c r="AW106" s="694"/>
      <c r="AX106" s="694"/>
      <c r="AY106" s="694"/>
    </row>
    <row r="107" spans="3:51" ht="14">
      <c r="C107" s="693"/>
      <c r="D107" s="6" t="s">
        <v>69</v>
      </c>
      <c r="G107" s="28"/>
      <c r="H107" s="27"/>
      <c r="I107" s="27"/>
      <c r="L107" s="6" t="s">
        <v>70</v>
      </c>
      <c r="M107" s="16"/>
      <c r="Q107" s="6"/>
      <c r="S107" s="6" t="s">
        <v>226</v>
      </c>
      <c r="T107"/>
      <c r="U107" s="693"/>
      <c r="V107" s="693"/>
      <c r="Y107" s="319" t="s">
        <v>82</v>
      </c>
      <c r="Z107" s="320"/>
      <c r="AA107" s="320"/>
      <c r="AB107" s="324"/>
      <c r="AC107" s="326"/>
      <c r="AD107" s="320"/>
      <c r="AE107" s="320"/>
      <c r="AF107" s="320"/>
      <c r="AG107" s="320"/>
      <c r="AH107" s="320"/>
      <c r="AI107" s="325"/>
      <c r="AJ107" s="325"/>
      <c r="AK107" s="325"/>
      <c r="AL107" s="325"/>
      <c r="AM107" s="325"/>
      <c r="AN107" s="48"/>
      <c r="AO107" s="48"/>
      <c r="AP107" s="48"/>
      <c r="AQ107" s="48"/>
      <c r="AV107" s="48"/>
      <c r="AW107" s="48"/>
      <c r="AX107" s="48"/>
      <c r="AY107" s="48"/>
    </row>
    <row r="108" spans="3:51" ht="14">
      <c r="C108" s="693"/>
      <c r="D108" s="718"/>
      <c r="E108" s="718"/>
      <c r="F108" s="718"/>
      <c r="G108" s="718"/>
      <c r="H108" s="718"/>
      <c r="I108" s="718"/>
      <c r="J108" s="693"/>
      <c r="K108" s="693"/>
      <c r="L108" s="693"/>
      <c r="M108" s="693"/>
      <c r="N108" s="693"/>
      <c r="O108" s="693"/>
      <c r="P108" s="693"/>
      <c r="Q108" s="693"/>
      <c r="S108" s="693"/>
      <c r="T108" s="693"/>
      <c r="U108" s="693"/>
      <c r="V108" s="693"/>
      <c r="W108" s="693"/>
      <c r="X108" s="693"/>
      <c r="Y108" s="328" t="s">
        <v>432</v>
      </c>
      <c r="Z108" s="325"/>
      <c r="AA108" s="325"/>
      <c r="AB108" s="325"/>
      <c r="AC108" s="325"/>
      <c r="AD108" s="325"/>
      <c r="AE108" s="325"/>
      <c r="AF108" s="325"/>
      <c r="AG108" s="325"/>
      <c r="AH108" s="325"/>
      <c r="AI108" s="325"/>
      <c r="AJ108" s="325"/>
      <c r="AK108" s="325"/>
      <c r="AL108" s="325"/>
      <c r="AM108" s="325"/>
      <c r="AN108" s="48"/>
      <c r="AO108" s="48"/>
      <c r="AP108" s="48"/>
      <c r="AQ108" s="48"/>
    </row>
    <row r="109" spans="3:51" ht="14">
      <c r="C109" s="693"/>
      <c r="D109" s="757" t="s">
        <v>13</v>
      </c>
      <c r="E109" s="757" t="s">
        <v>14</v>
      </c>
      <c r="F109" s="758"/>
      <c r="G109" s="759"/>
      <c r="H109" s="48"/>
      <c r="I109" s="718"/>
      <c r="J109" s="693"/>
      <c r="K109" s="693"/>
      <c r="L109" s="699" t="s">
        <v>13</v>
      </c>
      <c r="M109" s="699" t="s">
        <v>14</v>
      </c>
      <c r="N109" s="719"/>
      <c r="O109" s="700"/>
      <c r="P109" s="693"/>
      <c r="Q109" s="693"/>
      <c r="S109" s="699" t="s">
        <v>13</v>
      </c>
      <c r="T109" s="699" t="s">
        <v>137</v>
      </c>
      <c r="U109" s="719"/>
      <c r="V109" s="700"/>
      <c r="W109" s="693"/>
      <c r="X109" s="693"/>
      <c r="Y109" s="773"/>
      <c r="Z109" s="742"/>
      <c r="AA109" s="742"/>
      <c r="AB109" s="742"/>
      <c r="AC109" s="742"/>
      <c r="AD109" s="742"/>
      <c r="AE109" s="742"/>
      <c r="AF109" s="742"/>
      <c r="AG109" s="742"/>
      <c r="AH109" s="742"/>
      <c r="AI109" s="773"/>
      <c r="AJ109" s="773"/>
      <c r="AK109" s="773"/>
      <c r="AL109" s="773"/>
      <c r="AM109" s="773"/>
      <c r="AN109" s="48"/>
      <c r="AO109" s="48"/>
      <c r="AP109" s="48"/>
      <c r="AQ109" s="48"/>
    </row>
    <row r="110" spans="3:51" ht="14">
      <c r="C110" s="693"/>
      <c r="D110" s="757" t="s">
        <v>137</v>
      </c>
      <c r="E110" s="757" t="s">
        <v>27</v>
      </c>
      <c r="F110" s="760" t="s">
        <v>47</v>
      </c>
      <c r="G110" s="761" t="s">
        <v>235</v>
      </c>
      <c r="H110" s="48"/>
      <c r="I110" s="718"/>
      <c r="J110" s="693"/>
      <c r="K110" s="693"/>
      <c r="L110" s="699" t="s">
        <v>137</v>
      </c>
      <c r="M110" s="701" t="s">
        <v>27</v>
      </c>
      <c r="N110" s="720" t="s">
        <v>47</v>
      </c>
      <c r="O110" s="721" t="s">
        <v>235</v>
      </c>
      <c r="P110" s="693"/>
      <c r="Q110" s="693"/>
      <c r="S110" s="699" t="s">
        <v>14</v>
      </c>
      <c r="T110" s="701">
        <v>0</v>
      </c>
      <c r="U110" s="720">
        <v>1</v>
      </c>
      <c r="V110" s="721" t="s">
        <v>235</v>
      </c>
      <c r="W110" s="693"/>
      <c r="X110" s="693"/>
      <c r="Y110" s="785"/>
      <c r="Z110" s="742"/>
      <c r="AA110" s="742"/>
      <c r="AB110" s="742"/>
      <c r="AC110" s="742"/>
      <c r="AD110" s="742"/>
      <c r="AE110" s="742"/>
      <c r="AF110" s="742"/>
      <c r="AG110" s="742"/>
      <c r="AH110" s="742"/>
      <c r="AI110" s="773"/>
      <c r="AJ110" s="773"/>
      <c r="AK110" s="773"/>
      <c r="AL110" s="773"/>
      <c r="AM110" s="773"/>
      <c r="AN110" s="48"/>
      <c r="AO110" s="48"/>
      <c r="AP110" s="48"/>
      <c r="AQ110" s="48"/>
    </row>
    <row r="111" spans="3:51" ht="14">
      <c r="C111" s="693"/>
      <c r="D111" s="757">
        <v>0</v>
      </c>
      <c r="E111" s="762">
        <v>127</v>
      </c>
      <c r="F111" s="763">
        <v>76</v>
      </c>
      <c r="G111" s="764">
        <v>203</v>
      </c>
      <c r="H111" s="48"/>
      <c r="I111" s="718"/>
      <c r="J111" s="693"/>
      <c r="K111" s="693"/>
      <c r="L111" s="701">
        <v>0</v>
      </c>
      <c r="M111" s="704">
        <v>0.62561576354679804</v>
      </c>
      <c r="N111" s="749">
        <v>0.37438423645320196</v>
      </c>
      <c r="O111" s="734">
        <v>1</v>
      </c>
      <c r="P111" s="693"/>
      <c r="Q111" s="693"/>
      <c r="S111" s="701" t="s">
        <v>47</v>
      </c>
      <c r="T111" s="706">
        <v>0.6333333333333333</v>
      </c>
      <c r="U111" s="725">
        <v>0.36666666666666664</v>
      </c>
      <c r="V111" s="734">
        <v>1</v>
      </c>
      <c r="W111" s="693"/>
      <c r="X111" s="693"/>
      <c r="Y111" s="785"/>
      <c r="Z111" s="742"/>
      <c r="AA111" s="742"/>
      <c r="AB111" s="742"/>
      <c r="AC111" s="742"/>
      <c r="AD111" s="742"/>
      <c r="AE111" s="742"/>
      <c r="AF111" s="742"/>
      <c r="AG111" s="742"/>
      <c r="AH111" s="742"/>
      <c r="AI111" s="773"/>
      <c r="AJ111" s="773"/>
      <c r="AK111" s="773"/>
      <c r="AL111" s="773"/>
      <c r="AM111" s="773"/>
      <c r="AN111" s="48"/>
      <c r="AO111" s="48"/>
      <c r="AP111" s="48"/>
      <c r="AQ111" s="48"/>
    </row>
    <row r="112" spans="3:51" ht="14">
      <c r="C112" s="693"/>
      <c r="D112" s="765">
        <v>1</v>
      </c>
      <c r="E112" s="766">
        <v>73</v>
      </c>
      <c r="F112" s="767">
        <v>44</v>
      </c>
      <c r="G112" s="768">
        <v>117</v>
      </c>
      <c r="H112" s="48"/>
      <c r="I112" s="718"/>
      <c r="J112" s="693"/>
      <c r="K112" s="693"/>
      <c r="L112" s="708">
        <v>1</v>
      </c>
      <c r="M112" s="709">
        <v>0.62393162393162394</v>
      </c>
      <c r="N112" s="752">
        <v>0.37606837606837606</v>
      </c>
      <c r="O112" s="735">
        <v>1</v>
      </c>
      <c r="P112" s="693"/>
      <c r="Q112" s="693"/>
      <c r="S112" s="708" t="s">
        <v>27</v>
      </c>
      <c r="T112" s="711">
        <v>0.63500000000000001</v>
      </c>
      <c r="U112" s="729">
        <v>0.36499999999999999</v>
      </c>
      <c r="V112" s="735">
        <v>1</v>
      </c>
      <c r="W112" s="693"/>
      <c r="X112" s="693"/>
      <c r="Y112" s="785" t="s">
        <v>16</v>
      </c>
      <c r="Z112" s="742"/>
      <c r="AA112" s="742"/>
      <c r="AB112" s="742"/>
      <c r="AC112" s="742"/>
      <c r="AD112" s="742"/>
      <c r="AE112" s="742"/>
      <c r="AF112" s="742"/>
      <c r="AG112" s="742"/>
      <c r="AH112" s="742"/>
      <c r="AI112" s="773"/>
      <c r="AJ112" s="773"/>
      <c r="AK112" s="773"/>
      <c r="AL112" s="773"/>
      <c r="AM112" s="773"/>
      <c r="AN112" s="48"/>
      <c r="AO112" s="48"/>
      <c r="AP112" s="48"/>
      <c r="AQ112" s="48"/>
    </row>
    <row r="113" spans="3:43" ht="14">
      <c r="C113" s="693"/>
      <c r="D113" s="769" t="s">
        <v>235</v>
      </c>
      <c r="E113" s="770">
        <v>200</v>
      </c>
      <c r="F113" s="771">
        <v>120</v>
      </c>
      <c r="G113" s="772">
        <v>320</v>
      </c>
      <c r="H113" s="48"/>
      <c r="I113" s="718"/>
      <c r="J113" s="693"/>
      <c r="K113" s="693"/>
      <c r="L113" s="713" t="s">
        <v>235</v>
      </c>
      <c r="M113" s="714">
        <v>0.625</v>
      </c>
      <c r="N113" s="755">
        <v>0.375</v>
      </c>
      <c r="O113" s="736">
        <v>1</v>
      </c>
      <c r="P113" s="693"/>
      <c r="Q113" s="693"/>
      <c r="S113" s="713" t="s">
        <v>235</v>
      </c>
      <c r="T113" s="716">
        <v>0.63437500000000002</v>
      </c>
      <c r="U113" s="730">
        <v>0.36562499999999998</v>
      </c>
      <c r="V113" s="736">
        <v>1</v>
      </c>
      <c r="W113" s="693"/>
      <c r="X113" s="693"/>
      <c r="Y113" s="742"/>
      <c r="Z113" s="742"/>
      <c r="AA113" s="742"/>
      <c r="AB113" s="742"/>
      <c r="AC113" s="742"/>
      <c r="AD113" s="742"/>
      <c r="AE113" s="742"/>
      <c r="AF113" s="742"/>
      <c r="AG113" s="742"/>
      <c r="AH113" s="742"/>
      <c r="AI113" s="773"/>
      <c r="AJ113" s="773"/>
      <c r="AK113" s="773"/>
      <c r="AL113" s="773"/>
      <c r="AM113" s="773"/>
      <c r="AN113" s="48"/>
      <c r="AO113" s="48"/>
      <c r="AP113" s="48"/>
      <c r="AQ113" s="48"/>
    </row>
    <row r="114" spans="3:43" ht="14">
      <c r="C114" s="693"/>
      <c r="D114" s="48"/>
      <c r="E114" s="48"/>
      <c r="F114" s="48"/>
      <c r="G114" s="48"/>
      <c r="H114" s="48"/>
      <c r="I114" s="718"/>
      <c r="J114" s="693"/>
      <c r="K114" s="693"/>
      <c r="L114" s="693"/>
      <c r="M114" s="693"/>
      <c r="N114" s="693"/>
      <c r="O114" s="693"/>
      <c r="P114" s="693"/>
      <c r="Q114" s="693"/>
      <c r="R114" s="48"/>
      <c r="S114" s="48"/>
      <c r="T114" s="48"/>
      <c r="U114" s="48"/>
      <c r="V114" s="48"/>
      <c r="W114" s="693"/>
      <c r="X114" s="693"/>
      <c r="Y114" s="742"/>
      <c r="Z114" s="742"/>
      <c r="AA114" s="742"/>
      <c r="AB114" s="742"/>
      <c r="AC114" s="742"/>
      <c r="AD114" s="742"/>
      <c r="AE114" s="742"/>
      <c r="AF114" s="742"/>
      <c r="AG114" s="742"/>
      <c r="AH114" s="742"/>
      <c r="AI114" s="773"/>
      <c r="AJ114" s="773"/>
      <c r="AK114" s="773"/>
      <c r="AL114" s="773"/>
      <c r="AM114" s="773"/>
    </row>
    <row r="115" spans="3:43" ht="14">
      <c r="D115"/>
      <c r="E115"/>
      <c r="F115"/>
      <c r="G115"/>
      <c r="H115"/>
      <c r="I115" s="25"/>
      <c r="N115" s="8"/>
      <c r="R115"/>
      <c r="S115"/>
      <c r="T115"/>
      <c r="U115"/>
      <c r="Y115" s="587" t="s">
        <v>17</v>
      </c>
      <c r="Z115" s="587" t="s">
        <v>236</v>
      </c>
      <c r="AA115" s="742"/>
      <c r="AB115" s="742"/>
      <c r="AC115" s="742"/>
      <c r="AD115" s="742"/>
      <c r="AE115" s="742"/>
      <c r="AF115" s="742"/>
      <c r="AG115" s="742"/>
      <c r="AH115" s="742"/>
      <c r="AI115" s="773"/>
      <c r="AJ115" s="773"/>
      <c r="AK115" s="773"/>
      <c r="AL115" s="773"/>
      <c r="AM115" s="773"/>
    </row>
    <row r="116" spans="3:43" ht="14">
      <c r="D116"/>
      <c r="E116"/>
      <c r="F116"/>
      <c r="G116"/>
      <c r="H116"/>
      <c r="I116" s="25"/>
      <c r="N116" s="8"/>
      <c r="R116" s="17"/>
      <c r="S116" s="18"/>
      <c r="T116" s="18"/>
      <c r="U116" s="19"/>
      <c r="Y116" s="742"/>
      <c r="Z116" s="742"/>
      <c r="AA116" s="742"/>
      <c r="AB116" s="742"/>
      <c r="AC116" s="742"/>
      <c r="AD116" s="742"/>
      <c r="AE116" s="742"/>
      <c r="AF116" s="742"/>
      <c r="AG116" s="742"/>
      <c r="AH116" s="742"/>
      <c r="AI116" s="773"/>
      <c r="AJ116" s="773"/>
      <c r="AK116" s="773"/>
      <c r="AL116" s="773"/>
      <c r="AM116" s="773"/>
      <c r="AN116" s="8"/>
      <c r="AO116" s="8"/>
      <c r="AP116" s="8"/>
      <c r="AQ116" s="8"/>
    </row>
    <row r="117" spans="3:43" ht="14">
      <c r="D117"/>
      <c r="E117"/>
      <c r="F117"/>
      <c r="G117"/>
      <c r="H117"/>
      <c r="I117" s="25"/>
      <c r="R117" s="17"/>
      <c r="S117" s="18"/>
      <c r="T117" s="18"/>
      <c r="U117" s="19"/>
      <c r="Y117" s="743"/>
      <c r="Z117" s="743" t="s">
        <v>14</v>
      </c>
      <c r="AA117" s="744" t="s">
        <v>137</v>
      </c>
      <c r="AB117" s="744" t="s">
        <v>131</v>
      </c>
      <c r="AC117" s="744"/>
      <c r="AD117" s="744"/>
      <c r="AE117" s="744"/>
      <c r="AF117" s="744"/>
      <c r="AG117" s="744"/>
      <c r="AH117" s="744"/>
      <c r="AI117" s="744"/>
      <c r="AJ117" s="744"/>
      <c r="AK117" s="744"/>
      <c r="AL117" s="744"/>
      <c r="AM117" s="745"/>
      <c r="AN117" s="8"/>
      <c r="AO117" s="8"/>
      <c r="AP117" s="8"/>
      <c r="AQ117" s="8"/>
    </row>
    <row r="118" spans="3:43" ht="14">
      <c r="D118" s="20"/>
      <c r="E118" s="21"/>
      <c r="F118" s="21"/>
      <c r="R118" s="17"/>
      <c r="S118" s="18"/>
      <c r="T118" s="18"/>
      <c r="U118" s="19"/>
      <c r="Y118" s="774"/>
      <c r="Z118" s="743" t="s">
        <v>47</v>
      </c>
      <c r="AA118" s="744"/>
      <c r="AB118" s="744"/>
      <c r="AC118" s="744"/>
      <c r="AD118" s="743" t="s">
        <v>929</v>
      </c>
      <c r="AE118" s="743" t="s">
        <v>932</v>
      </c>
      <c r="AF118" s="743" t="s">
        <v>27</v>
      </c>
      <c r="AG118" s="744"/>
      <c r="AH118" s="744"/>
      <c r="AI118" s="744"/>
      <c r="AJ118" s="743" t="s">
        <v>930</v>
      </c>
      <c r="AK118" s="743" t="s">
        <v>933</v>
      </c>
      <c r="AL118" s="743" t="s">
        <v>931</v>
      </c>
      <c r="AM118" s="747" t="s">
        <v>934</v>
      </c>
      <c r="AN118" s="8"/>
      <c r="AO118" s="8"/>
      <c r="AP118" s="8"/>
      <c r="AQ118" s="8"/>
    </row>
    <row r="119" spans="3:43" ht="14">
      <c r="D119" s="20"/>
      <c r="E119" s="21"/>
      <c r="F119" s="21"/>
      <c r="R119" s="17"/>
      <c r="S119" s="18"/>
      <c r="T119" s="18"/>
      <c r="U119" s="19"/>
      <c r="Y119" s="774"/>
      <c r="Z119" s="743">
        <v>0</v>
      </c>
      <c r="AA119" s="744"/>
      <c r="AB119" s="743">
        <v>1</v>
      </c>
      <c r="AC119" s="744"/>
      <c r="AD119" s="774"/>
      <c r="AE119" s="774"/>
      <c r="AF119" s="743">
        <v>0</v>
      </c>
      <c r="AG119" s="744"/>
      <c r="AH119" s="743">
        <v>1</v>
      </c>
      <c r="AI119" s="744"/>
      <c r="AJ119" s="774"/>
      <c r="AK119" s="774"/>
      <c r="AL119" s="774"/>
      <c r="AM119" s="775"/>
      <c r="AN119" s="8"/>
      <c r="AO119" s="8"/>
      <c r="AP119" s="8"/>
      <c r="AQ119" s="8"/>
    </row>
    <row r="120" spans="3:43" ht="14">
      <c r="D120" s="20"/>
      <c r="E120" s="21"/>
      <c r="F120" s="21"/>
      <c r="R120" s="17"/>
      <c r="S120" s="18"/>
      <c r="T120" s="18"/>
      <c r="U120" s="19"/>
      <c r="Y120" s="743" t="s">
        <v>12</v>
      </c>
      <c r="Z120" s="743" t="s">
        <v>98</v>
      </c>
      <c r="AA120" s="746" t="s">
        <v>935</v>
      </c>
      <c r="AB120" s="743" t="s">
        <v>98</v>
      </c>
      <c r="AC120" s="746" t="s">
        <v>935</v>
      </c>
      <c r="AD120" s="774"/>
      <c r="AE120" s="774"/>
      <c r="AF120" s="743" t="s">
        <v>98</v>
      </c>
      <c r="AG120" s="746" t="s">
        <v>935</v>
      </c>
      <c r="AH120" s="743" t="s">
        <v>98</v>
      </c>
      <c r="AI120" s="746" t="s">
        <v>935</v>
      </c>
      <c r="AJ120" s="774"/>
      <c r="AK120" s="774"/>
      <c r="AL120" s="774"/>
      <c r="AM120" s="775"/>
      <c r="AN120" s="8"/>
      <c r="AO120" s="8"/>
      <c r="AP120" s="8"/>
      <c r="AQ120" s="8"/>
    </row>
    <row r="121" spans="3:43" ht="14">
      <c r="D121" s="20"/>
      <c r="E121" s="21"/>
      <c r="F121" s="21"/>
      <c r="Y121" s="743" t="s">
        <v>3</v>
      </c>
      <c r="Z121" s="748">
        <v>36</v>
      </c>
      <c r="AA121" s="776">
        <v>0.20809248554913296</v>
      </c>
      <c r="AB121" s="748">
        <v>21</v>
      </c>
      <c r="AC121" s="776">
        <v>0.12138728323699421</v>
      </c>
      <c r="AD121" s="748">
        <v>57</v>
      </c>
      <c r="AE121" s="777">
        <v>0.32947976878612717</v>
      </c>
      <c r="AF121" s="748">
        <v>76</v>
      </c>
      <c r="AG121" s="776">
        <v>0.43930635838150289</v>
      </c>
      <c r="AH121" s="748">
        <v>40</v>
      </c>
      <c r="AI121" s="776">
        <v>0.23121387283236994</v>
      </c>
      <c r="AJ121" s="748">
        <v>116</v>
      </c>
      <c r="AK121" s="777">
        <v>0.67052023121387283</v>
      </c>
      <c r="AL121" s="748">
        <v>173</v>
      </c>
      <c r="AM121" s="778">
        <v>1</v>
      </c>
      <c r="AN121" s="8"/>
      <c r="AO121" s="8"/>
      <c r="AP121" s="8"/>
      <c r="AQ121" s="8"/>
    </row>
    <row r="122" spans="3:43" ht="14">
      <c r="D122" s="20"/>
      <c r="E122" s="21"/>
      <c r="F122" s="21"/>
      <c r="Y122" s="750" t="s">
        <v>49</v>
      </c>
      <c r="Z122" s="751">
        <v>13</v>
      </c>
      <c r="AA122" s="779">
        <v>0.37142857142857144</v>
      </c>
      <c r="AB122" s="751">
        <v>14</v>
      </c>
      <c r="AC122" s="779">
        <v>0.4</v>
      </c>
      <c r="AD122" s="751">
        <v>27</v>
      </c>
      <c r="AE122" s="780">
        <v>0.77142857142857146</v>
      </c>
      <c r="AF122" s="751">
        <v>5</v>
      </c>
      <c r="AG122" s="779">
        <v>0.14285714285714285</v>
      </c>
      <c r="AH122" s="751">
        <v>3</v>
      </c>
      <c r="AI122" s="779">
        <v>8.5714285714285715E-2</v>
      </c>
      <c r="AJ122" s="751">
        <v>8</v>
      </c>
      <c r="AK122" s="780">
        <v>0.22857142857142856</v>
      </c>
      <c r="AL122" s="751">
        <v>35</v>
      </c>
      <c r="AM122" s="781">
        <v>1</v>
      </c>
      <c r="AN122" s="8"/>
      <c r="AO122" s="8"/>
      <c r="AP122" s="8"/>
      <c r="AQ122" s="8"/>
    </row>
    <row r="123" spans="3:43" ht="14">
      <c r="D123" s="20"/>
      <c r="E123" s="21"/>
      <c r="F123" s="21"/>
      <c r="Y123" s="750" t="s">
        <v>50</v>
      </c>
      <c r="Z123" s="751">
        <v>25</v>
      </c>
      <c r="AA123" s="779">
        <v>0.25252525252525254</v>
      </c>
      <c r="AB123" s="751">
        <v>8</v>
      </c>
      <c r="AC123" s="779">
        <v>8.0808080808080815E-2</v>
      </c>
      <c r="AD123" s="751">
        <v>33</v>
      </c>
      <c r="AE123" s="780">
        <v>0.33333333333333331</v>
      </c>
      <c r="AF123" s="751">
        <v>40</v>
      </c>
      <c r="AG123" s="779">
        <v>0.40404040404040403</v>
      </c>
      <c r="AH123" s="751">
        <v>26</v>
      </c>
      <c r="AI123" s="779">
        <v>0.26262626262626265</v>
      </c>
      <c r="AJ123" s="751">
        <v>66</v>
      </c>
      <c r="AK123" s="780">
        <v>0.66666666666666663</v>
      </c>
      <c r="AL123" s="751">
        <v>99</v>
      </c>
      <c r="AM123" s="781">
        <v>1</v>
      </c>
      <c r="AN123" s="8"/>
      <c r="AO123" s="8"/>
      <c r="AP123" s="8"/>
      <c r="AQ123" s="8"/>
    </row>
    <row r="124" spans="3:43" ht="14">
      <c r="D124" s="20"/>
      <c r="E124" s="21"/>
      <c r="F124" s="21"/>
      <c r="Y124" s="750" t="s">
        <v>51</v>
      </c>
      <c r="Z124" s="751">
        <v>2</v>
      </c>
      <c r="AA124" s="779">
        <v>0.15384615384615385</v>
      </c>
      <c r="AB124" s="751">
        <v>1</v>
      </c>
      <c r="AC124" s="779">
        <v>7.6923076923076927E-2</v>
      </c>
      <c r="AD124" s="751">
        <v>3</v>
      </c>
      <c r="AE124" s="780">
        <v>0.23076923076923078</v>
      </c>
      <c r="AF124" s="751">
        <v>6</v>
      </c>
      <c r="AG124" s="779">
        <v>0.46153846153846156</v>
      </c>
      <c r="AH124" s="751">
        <v>4</v>
      </c>
      <c r="AI124" s="779">
        <v>0.30769230769230771</v>
      </c>
      <c r="AJ124" s="751">
        <v>10</v>
      </c>
      <c r="AK124" s="780">
        <v>0.76923076923076927</v>
      </c>
      <c r="AL124" s="751">
        <v>13</v>
      </c>
      <c r="AM124" s="781">
        <v>1</v>
      </c>
      <c r="AN124" s="8"/>
      <c r="AO124" s="8"/>
      <c r="AP124" s="8"/>
      <c r="AQ124" s="8"/>
    </row>
    <row r="125" spans="3:43">
      <c r="D125" s="20"/>
      <c r="E125" s="21"/>
      <c r="F125" s="21"/>
      <c r="Y125" s="593" t="s">
        <v>235</v>
      </c>
      <c r="Z125" s="594">
        <v>76</v>
      </c>
      <c r="AA125" s="609">
        <v>0.23749999999999999</v>
      </c>
      <c r="AB125" s="594">
        <v>44</v>
      </c>
      <c r="AC125" s="609">
        <v>0.13750000000000001</v>
      </c>
      <c r="AD125" s="594">
        <v>120</v>
      </c>
      <c r="AE125" s="610">
        <v>0.375</v>
      </c>
      <c r="AF125" s="594">
        <v>127</v>
      </c>
      <c r="AG125" s="609">
        <v>0.39687499999999998</v>
      </c>
      <c r="AH125" s="594">
        <v>73</v>
      </c>
      <c r="AI125" s="609">
        <v>0.22812499999999999</v>
      </c>
      <c r="AJ125" s="594">
        <v>200</v>
      </c>
      <c r="AK125" s="610">
        <v>0.625</v>
      </c>
      <c r="AL125" s="594">
        <v>320</v>
      </c>
      <c r="AM125" s="611">
        <v>1</v>
      </c>
      <c r="AN125" s="8"/>
      <c r="AO125" s="8"/>
      <c r="AP125" s="8"/>
      <c r="AQ125" s="8"/>
    </row>
    <row r="126" spans="3:43">
      <c r="D126" s="20"/>
      <c r="E126" s="21"/>
      <c r="F126" s="21"/>
      <c r="Y126"/>
      <c r="Z126"/>
      <c r="AA126"/>
      <c r="AB126"/>
      <c r="AC126"/>
      <c r="AD126"/>
      <c r="AE126"/>
      <c r="AN126" s="8"/>
      <c r="AO126" s="8"/>
      <c r="AP126" s="8"/>
      <c r="AQ126" s="8"/>
    </row>
    <row r="127" spans="3:43">
      <c r="D127" s="20"/>
      <c r="E127" s="21"/>
      <c r="F127" s="21"/>
      <c r="Y127"/>
      <c r="Z127"/>
      <c r="AA127"/>
      <c r="AB127"/>
      <c r="AC127"/>
      <c r="AD127"/>
      <c r="AE127"/>
    </row>
    <row r="128" spans="3:43">
      <c r="D128" s="20"/>
      <c r="E128" s="21"/>
      <c r="F128" s="21"/>
      <c r="Y128"/>
      <c r="Z128"/>
      <c r="AA128"/>
      <c r="AB128"/>
      <c r="AC128"/>
      <c r="AD128"/>
      <c r="AE128"/>
    </row>
    <row r="129" spans="2:82">
      <c r="D129" s="20"/>
      <c r="E129" s="21"/>
      <c r="F129" s="21"/>
      <c r="Y129"/>
      <c r="Z129"/>
      <c r="AA129"/>
      <c r="AB129"/>
      <c r="AC129"/>
      <c r="AD129"/>
      <c r="AE129"/>
    </row>
    <row r="130" spans="2:82">
      <c r="D130" s="20"/>
      <c r="E130" s="21"/>
      <c r="F130" s="21"/>
      <c r="Y130"/>
      <c r="Z130"/>
      <c r="AA130"/>
      <c r="AB130"/>
      <c r="AC130"/>
      <c r="AD130"/>
      <c r="AE130"/>
    </row>
    <row r="131" spans="2:82">
      <c r="D131" s="20"/>
      <c r="E131" s="21"/>
      <c r="F131" s="21"/>
      <c r="Y131"/>
      <c r="Z131"/>
      <c r="AA131"/>
      <c r="AB131"/>
      <c r="AC131"/>
      <c r="AD131"/>
      <c r="AE131"/>
    </row>
    <row r="132" spans="2:82">
      <c r="D132" s="20"/>
      <c r="E132" s="21"/>
      <c r="F132" s="21"/>
      <c r="AF132" s="8"/>
    </row>
    <row r="133" spans="2:82">
      <c r="D133" s="20"/>
      <c r="E133" s="21"/>
      <c r="F133" s="21"/>
      <c r="AF133" s="8"/>
      <c r="AG133" s="14"/>
      <c r="AH133" s="14"/>
      <c r="AI133" s="14"/>
      <c r="AJ133" s="14"/>
      <c r="AK133" s="14"/>
      <c r="AL133" s="14"/>
      <c r="AM133" s="14"/>
      <c r="AN133" s="14"/>
      <c r="AO133" s="14"/>
      <c r="AP133" s="14"/>
      <c r="AQ133" s="8"/>
      <c r="AR133" s="8"/>
      <c r="AS133" s="8"/>
      <c r="AT133" s="8"/>
      <c r="AU133" s="8"/>
      <c r="AV133" s="8"/>
      <c r="AW133" s="8"/>
      <c r="AX133" s="8"/>
      <c r="AY133" s="8"/>
    </row>
    <row r="134" spans="2:82">
      <c r="D134" s="20"/>
      <c r="E134" s="21"/>
      <c r="F134" s="21"/>
      <c r="AF134" s="8"/>
      <c r="AG134" s="14"/>
      <c r="AH134" s="14"/>
      <c r="AI134" s="14"/>
      <c r="AJ134" s="14"/>
      <c r="AK134" s="14"/>
      <c r="AL134" s="14"/>
      <c r="AM134" s="14"/>
      <c r="AN134" s="14"/>
      <c r="AO134" s="14"/>
      <c r="AP134" s="14"/>
      <c r="AQ134" s="8"/>
      <c r="AR134" s="8"/>
      <c r="AS134" s="8"/>
      <c r="AT134" s="8"/>
      <c r="AU134" s="8"/>
      <c r="AV134" s="8"/>
      <c r="AW134" s="8"/>
      <c r="AX134" s="8"/>
      <c r="AY134" s="8"/>
    </row>
    <row r="135" spans="2:82">
      <c r="AF135" s="8"/>
      <c r="AG135" s="14"/>
      <c r="AH135" s="14"/>
      <c r="AI135" s="14"/>
      <c r="AJ135" s="14"/>
      <c r="AK135" s="14"/>
      <c r="AL135" s="14"/>
      <c r="AM135" s="14"/>
      <c r="AN135" s="14"/>
      <c r="AO135" s="14"/>
      <c r="AP135" s="14"/>
      <c r="AQ135" s="8"/>
      <c r="AR135" s="8"/>
      <c r="AS135" s="8"/>
      <c r="AT135" s="8"/>
      <c r="AU135" s="8"/>
      <c r="AV135" s="8"/>
      <c r="AW135" s="8"/>
      <c r="AX135" s="8"/>
      <c r="AY135" s="8"/>
    </row>
    <row r="136" spans="2:82" ht="49" customHeight="1">
      <c r="D136" s="1407" t="s">
        <v>472</v>
      </c>
      <c r="E136" s="1408"/>
      <c r="F136" s="1409"/>
      <c r="G136" s="1410" t="s">
        <v>477</v>
      </c>
      <c r="H136" s="1411"/>
      <c r="I136" s="1411"/>
      <c r="J136" s="1411"/>
      <c r="K136" s="1411"/>
      <c r="L136" s="1411"/>
      <c r="M136" s="1411"/>
      <c r="N136" s="1411"/>
      <c r="O136" s="1411"/>
      <c r="P136" s="1411"/>
      <c r="Q136" s="1411"/>
      <c r="R136" s="1411"/>
      <c r="S136" s="1411"/>
      <c r="T136" s="1411"/>
      <c r="U136" s="1411"/>
      <c r="V136" s="1411"/>
      <c r="W136" s="1411"/>
      <c r="X136" s="1411"/>
      <c r="Y136" s="1411"/>
      <c r="Z136" s="1411"/>
      <c r="AA136" s="1411"/>
      <c r="AB136" s="1411"/>
      <c r="AC136" s="1411"/>
      <c r="AD136" s="1412"/>
      <c r="AF136" s="8"/>
      <c r="AG136" s="14"/>
      <c r="AH136" s="14"/>
      <c r="AI136" s="14"/>
      <c r="AJ136" s="14"/>
      <c r="AK136" s="14"/>
      <c r="AL136" s="14"/>
      <c r="AM136" s="14"/>
      <c r="AN136" s="14"/>
      <c r="AO136" s="14"/>
      <c r="AP136" s="14"/>
      <c r="AQ136" s="8"/>
      <c r="AR136" s="8"/>
      <c r="AS136" s="8"/>
      <c r="AT136" s="8"/>
      <c r="AU136" s="8"/>
      <c r="AV136" s="8"/>
      <c r="AW136" s="8"/>
      <c r="AX136" s="8"/>
      <c r="AY136" s="8"/>
    </row>
    <row r="137" spans="2:82" ht="49" customHeight="1">
      <c r="D137" s="1407" t="s">
        <v>473</v>
      </c>
      <c r="E137" s="1408"/>
      <c r="F137" s="1409"/>
      <c r="G137" s="1410" t="s">
        <v>478</v>
      </c>
      <c r="H137" s="1411"/>
      <c r="I137" s="1411"/>
      <c r="J137" s="1411"/>
      <c r="K137" s="1411"/>
      <c r="L137" s="1411"/>
      <c r="M137" s="1411"/>
      <c r="N137" s="1411"/>
      <c r="O137" s="1411"/>
      <c r="P137" s="1411"/>
      <c r="Q137" s="1411"/>
      <c r="R137" s="1411"/>
      <c r="S137" s="1411"/>
      <c r="T137" s="1411"/>
      <c r="U137" s="1411"/>
      <c r="V137" s="1411"/>
      <c r="W137" s="1411"/>
      <c r="X137" s="1411"/>
      <c r="Y137" s="1411"/>
      <c r="Z137" s="1411"/>
      <c r="AA137" s="1411"/>
      <c r="AB137" s="1411"/>
      <c r="AC137" s="1411"/>
      <c r="AD137" s="1412"/>
      <c r="AF137" s="8"/>
      <c r="AG137" s="14"/>
      <c r="AH137" s="14"/>
      <c r="AI137" s="14"/>
      <c r="AJ137" s="14"/>
      <c r="AK137" s="14"/>
      <c r="AL137" s="14"/>
      <c r="AM137" s="14"/>
      <c r="AN137" s="14"/>
      <c r="AO137" s="14"/>
      <c r="AP137" s="14"/>
      <c r="AQ137" s="8"/>
      <c r="AR137" s="8"/>
      <c r="AS137" s="8"/>
      <c r="AT137" s="8"/>
      <c r="AU137" s="8"/>
      <c r="AV137" s="8"/>
      <c r="AW137" s="8"/>
      <c r="AX137" s="8"/>
      <c r="AY137" s="8"/>
    </row>
    <row r="138" spans="2:82">
      <c r="AF138" s="8"/>
      <c r="AG138" s="14"/>
      <c r="AH138" s="14"/>
      <c r="AI138" s="14"/>
      <c r="AJ138" s="14"/>
      <c r="AK138" s="14"/>
      <c r="AL138" s="14"/>
      <c r="AM138" s="14"/>
      <c r="AN138" s="14"/>
      <c r="AO138" s="14"/>
      <c r="AP138" s="14"/>
      <c r="AQ138" s="8"/>
      <c r="AR138" s="8"/>
      <c r="AS138" s="8"/>
      <c r="AT138" s="8"/>
      <c r="AU138" s="8"/>
      <c r="AV138" s="8"/>
      <c r="AW138" s="8"/>
      <c r="AX138" s="8"/>
      <c r="AY138" s="8"/>
    </row>
    <row r="139" spans="2:82">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row>
    <row r="141" spans="2:82" ht="20">
      <c r="C141" s="430" t="s">
        <v>94</v>
      </c>
      <c r="S141" s="75"/>
      <c r="AF141" s="14"/>
      <c r="AG141" s="8"/>
      <c r="AH141" s="8"/>
      <c r="AI141" s="8"/>
      <c r="AJ141" s="14"/>
      <c r="AK141" s="14"/>
      <c r="AL141" s="14"/>
      <c r="AM141" s="14"/>
      <c r="AN141" s="14"/>
      <c r="AO141" s="14"/>
      <c r="AP141" s="14"/>
      <c r="AQ141" s="14"/>
      <c r="AR141" s="14"/>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row>
    <row r="142" spans="2:82">
      <c r="C142" s="6"/>
      <c r="AF142" s="14"/>
      <c r="AG142" s="8"/>
      <c r="AH142" s="8"/>
      <c r="AI142" s="8"/>
      <c r="AJ142" s="14"/>
      <c r="AK142" s="14"/>
      <c r="AL142" s="14"/>
      <c r="AM142" s="14"/>
      <c r="AN142" s="14"/>
      <c r="AO142" s="14"/>
      <c r="AP142" s="14"/>
      <c r="AQ142" s="14"/>
      <c r="AR142" s="14"/>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row>
    <row r="143" spans="2:82">
      <c r="C143" s="1449" t="s">
        <v>470</v>
      </c>
      <c r="D143" s="1450"/>
      <c r="R143"/>
      <c r="S143"/>
      <c r="T143"/>
      <c r="AF143" s="14"/>
      <c r="AG143" s="8"/>
      <c r="AH143" s="8"/>
      <c r="AI143" s="8"/>
      <c r="AJ143" s="14"/>
      <c r="AK143" s="14"/>
      <c r="AL143" s="14"/>
      <c r="AM143" s="14"/>
      <c r="AN143" s="14"/>
      <c r="AO143" s="14"/>
      <c r="AP143" s="14"/>
      <c r="AQ143" s="14"/>
      <c r="AR143" s="14"/>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row>
    <row r="144" spans="2:82">
      <c r="C144" s="6" t="s">
        <v>213</v>
      </c>
      <c r="AF144" s="14"/>
      <c r="AG144" s="8"/>
      <c r="AH144" s="8"/>
      <c r="AI144" s="8"/>
      <c r="AJ144" s="14"/>
      <c r="AK144" s="14"/>
      <c r="AL144" s="14"/>
      <c r="AM144" s="14"/>
      <c r="AN144" s="14"/>
      <c r="AO144" s="14"/>
      <c r="AP144" s="14"/>
      <c r="AQ144" s="14"/>
      <c r="AR144" s="14"/>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row>
    <row r="145" spans="3:82">
      <c r="C145" s="6"/>
      <c r="AF145" s="14"/>
      <c r="AG145" s="8"/>
      <c r="AH145" s="8"/>
      <c r="AI145" s="8"/>
      <c r="AJ145" s="14"/>
      <c r="AK145" s="14"/>
      <c r="AL145" s="14"/>
      <c r="AM145" s="14"/>
      <c r="AN145" s="14"/>
      <c r="AO145" s="14"/>
      <c r="AP145" s="14"/>
      <c r="AQ145" s="14"/>
      <c r="AR145" s="14"/>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row>
    <row r="146" spans="3:82">
      <c r="C146" s="328" t="s">
        <v>432</v>
      </c>
      <c r="D146" s="320"/>
      <c r="E146" s="320"/>
      <c r="F146" s="320"/>
      <c r="G146" s="320"/>
      <c r="H146" s="320"/>
      <c r="I146" s="320"/>
      <c r="J146" s="320"/>
      <c r="K146" s="320"/>
      <c r="L146" s="320"/>
      <c r="M146" s="320"/>
      <c r="N146" s="320"/>
      <c r="O146" s="320"/>
      <c r="P146" s="320"/>
      <c r="Q146" s="320"/>
      <c r="R146" s="320"/>
      <c r="S146" s="320"/>
      <c r="AF146" s="14"/>
      <c r="AG146" s="8"/>
      <c r="AH146" s="8"/>
      <c r="AI146" s="8"/>
      <c r="AJ146" s="14"/>
      <c r="AK146" s="14"/>
      <c r="AL146" s="14"/>
      <c r="AM146" s="14"/>
      <c r="AN146" s="14"/>
      <c r="AO146" s="14"/>
      <c r="AP146" s="14"/>
      <c r="AQ146" s="14"/>
      <c r="AR146" s="14"/>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row>
    <row r="147" spans="3:82">
      <c r="C147" s="1453" t="s">
        <v>307</v>
      </c>
      <c r="D147" s="1454"/>
      <c r="E147" s="1454"/>
      <c r="F147" s="1454"/>
      <c r="G147" s="1454"/>
      <c r="H147" s="1454"/>
      <c r="I147" s="1454"/>
      <c r="J147" s="1454"/>
      <c r="K147" s="1454"/>
      <c r="L147" s="1454"/>
      <c r="M147" s="1454"/>
      <c r="N147" s="1454"/>
      <c r="O147" s="1454"/>
      <c r="P147" s="1454"/>
      <c r="Q147" s="1454"/>
      <c r="R147" s="1454"/>
      <c r="S147" s="1454"/>
      <c r="AF147" s="14"/>
      <c r="AG147" s="8"/>
      <c r="AH147" s="8"/>
      <c r="AI147" s="8"/>
      <c r="AJ147" s="14"/>
      <c r="AK147" s="14"/>
      <c r="AL147" s="14"/>
      <c r="AM147" s="14"/>
      <c r="AN147" s="14"/>
      <c r="AO147" s="14"/>
      <c r="AP147" s="14"/>
      <c r="AQ147" s="14"/>
      <c r="AR147" s="14"/>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row>
    <row r="148" spans="3:82">
      <c r="C148" s="77"/>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row>
    <row r="149" spans="3:82">
      <c r="C149" s="6"/>
      <c r="AF149" s="14"/>
      <c r="AG149" s="8"/>
      <c r="AH149" s="8"/>
      <c r="AI149" s="8"/>
      <c r="AJ149" s="14"/>
      <c r="AK149" s="14"/>
      <c r="AL149" s="14"/>
      <c r="AM149" s="14"/>
      <c r="AN149" s="14"/>
      <c r="AO149" s="14"/>
      <c r="AP149" s="14"/>
      <c r="AQ149" s="14"/>
      <c r="AR149" s="14"/>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row>
    <row r="150" spans="3:82" ht="16">
      <c r="D150" s="143" t="s">
        <v>69</v>
      </c>
      <c r="G150" s="28"/>
      <c r="H150" s="27"/>
      <c r="I150" s="27"/>
      <c r="L150" s="48" t="s">
        <v>923</v>
      </c>
      <c r="R150" s="6"/>
      <c r="S150" s="6" t="s">
        <v>227</v>
      </c>
      <c r="T150" s="16"/>
      <c r="AH150" s="8"/>
      <c r="AI150" s="8"/>
      <c r="BH150" s="8"/>
      <c r="CD150" s="8"/>
    </row>
    <row r="151" spans="3:82" ht="14">
      <c r="C151" s="693"/>
      <c r="D151" s="718"/>
      <c r="E151" s="718"/>
      <c r="F151" s="718"/>
      <c r="G151" s="718"/>
      <c r="H151" s="718"/>
      <c r="I151" s="718"/>
      <c r="J151" s="693"/>
      <c r="K151" s="693"/>
      <c r="L151" s="693"/>
      <c r="M151" s="693"/>
      <c r="N151" s="693"/>
      <c r="O151" s="693"/>
      <c r="P151" s="693"/>
      <c r="Q151" s="693"/>
      <c r="R151" s="693"/>
      <c r="BF151" s="8"/>
      <c r="BG151" s="8"/>
      <c r="BH151" s="694"/>
      <c r="CD151" s="756"/>
    </row>
    <row r="152" spans="3:82" ht="14">
      <c r="C152" s="693"/>
      <c r="D152" s="757" t="s">
        <v>13</v>
      </c>
      <c r="E152" s="757" t="s">
        <v>14</v>
      </c>
      <c r="F152" s="758"/>
      <c r="G152" s="759"/>
      <c r="H152" s="48"/>
      <c r="I152" s="718"/>
      <c r="J152" s="693"/>
      <c r="K152" s="693"/>
      <c r="L152" s="699" t="s">
        <v>13</v>
      </c>
      <c r="M152" s="699" t="s">
        <v>14</v>
      </c>
      <c r="N152" s="719"/>
      <c r="O152" s="700"/>
      <c r="P152" s="693"/>
      <c r="Q152" s="693"/>
      <c r="R152" s="693"/>
      <c r="S152" s="699" t="s">
        <v>13</v>
      </c>
      <c r="T152" s="699" t="s">
        <v>138</v>
      </c>
      <c r="U152" s="719"/>
      <c r="V152" s="700"/>
      <c r="W152" s="8"/>
      <c r="AR152" s="8"/>
      <c r="BF152" s="694"/>
      <c r="BG152" s="694"/>
      <c r="BH152" s="694"/>
      <c r="CD152" s="756"/>
    </row>
    <row r="153" spans="3:82" ht="14">
      <c r="C153" s="693"/>
      <c r="D153" s="757" t="s">
        <v>138</v>
      </c>
      <c r="E153" s="757" t="s">
        <v>27</v>
      </c>
      <c r="F153" s="760" t="s">
        <v>47</v>
      </c>
      <c r="G153" s="761" t="s">
        <v>235</v>
      </c>
      <c r="H153" s="48"/>
      <c r="I153" s="718"/>
      <c r="J153" s="693"/>
      <c r="K153" s="693"/>
      <c r="L153" s="699" t="s">
        <v>138</v>
      </c>
      <c r="M153" s="701" t="s">
        <v>27</v>
      </c>
      <c r="N153" s="720" t="s">
        <v>47</v>
      </c>
      <c r="O153" s="721" t="s">
        <v>235</v>
      </c>
      <c r="P153" s="693"/>
      <c r="Q153" s="693"/>
      <c r="R153" s="693"/>
      <c r="S153" s="699" t="s">
        <v>14</v>
      </c>
      <c r="T153" s="701">
        <v>0</v>
      </c>
      <c r="U153" s="720">
        <v>1</v>
      </c>
      <c r="V153" s="721" t="s">
        <v>235</v>
      </c>
      <c r="W153" s="693"/>
      <c r="AR153" s="694"/>
      <c r="BF153" s="694"/>
      <c r="BG153" s="694"/>
      <c r="BH153" s="694"/>
      <c r="CD153" s="756"/>
    </row>
    <row r="154" spans="3:82" ht="14">
      <c r="C154" s="693"/>
      <c r="D154" s="757">
        <v>0</v>
      </c>
      <c r="E154" s="762">
        <v>128</v>
      </c>
      <c r="F154" s="763">
        <v>83</v>
      </c>
      <c r="G154" s="764">
        <v>211</v>
      </c>
      <c r="H154" s="48"/>
      <c r="I154" s="718"/>
      <c r="J154" s="693"/>
      <c r="K154" s="693"/>
      <c r="L154" s="701">
        <v>0</v>
      </c>
      <c r="M154" s="704">
        <v>0.60663507109004744</v>
      </c>
      <c r="N154" s="749">
        <v>0.39336492890995262</v>
      </c>
      <c r="O154" s="734">
        <v>1</v>
      </c>
      <c r="P154" s="693"/>
      <c r="Q154" s="693"/>
      <c r="R154" s="693"/>
      <c r="S154" s="701" t="s">
        <v>47</v>
      </c>
      <c r="T154" s="706">
        <v>0.69166666666666665</v>
      </c>
      <c r="U154" s="725">
        <v>0.30833333333333335</v>
      </c>
      <c r="V154" s="734">
        <v>1</v>
      </c>
      <c r="W154" s="48"/>
      <c r="AR154" s="694"/>
      <c r="BF154" s="694"/>
      <c r="BG154" s="694"/>
      <c r="BH154" s="694"/>
      <c r="CD154" s="756"/>
    </row>
    <row r="155" spans="3:82" ht="14">
      <c r="C155" s="693"/>
      <c r="D155" s="765">
        <v>1</v>
      </c>
      <c r="E155" s="766">
        <v>72</v>
      </c>
      <c r="F155" s="767">
        <v>37</v>
      </c>
      <c r="G155" s="768">
        <v>109</v>
      </c>
      <c r="H155" s="48"/>
      <c r="I155" s="718"/>
      <c r="J155" s="693"/>
      <c r="K155" s="693"/>
      <c r="L155" s="708">
        <v>1</v>
      </c>
      <c r="M155" s="709">
        <v>0.66055045871559637</v>
      </c>
      <c r="N155" s="752">
        <v>0.33944954128440369</v>
      </c>
      <c r="O155" s="735">
        <v>1</v>
      </c>
      <c r="P155" s="693"/>
      <c r="Q155" s="693"/>
      <c r="R155" s="693"/>
      <c r="S155" s="708" t="s">
        <v>27</v>
      </c>
      <c r="T155" s="711">
        <v>0.64</v>
      </c>
      <c r="U155" s="729">
        <v>0.36</v>
      </c>
      <c r="V155" s="735">
        <v>1</v>
      </c>
      <c r="W155" s="48"/>
      <c r="AR155" s="694"/>
      <c r="BF155" s="694"/>
      <c r="BG155" s="694"/>
      <c r="BH155" s="694"/>
      <c r="CD155" s="756"/>
    </row>
    <row r="156" spans="3:82" ht="14">
      <c r="C156" s="693"/>
      <c r="D156" s="769" t="s">
        <v>235</v>
      </c>
      <c r="E156" s="770">
        <v>200</v>
      </c>
      <c r="F156" s="771">
        <v>120</v>
      </c>
      <c r="G156" s="772">
        <v>320</v>
      </c>
      <c r="H156" s="48"/>
      <c r="I156" s="718"/>
      <c r="J156" s="693"/>
      <c r="K156" s="693"/>
      <c r="L156" s="713" t="s">
        <v>235</v>
      </c>
      <c r="M156" s="714">
        <v>0.625</v>
      </c>
      <c r="N156" s="755">
        <v>0.375</v>
      </c>
      <c r="O156" s="736">
        <v>1</v>
      </c>
      <c r="P156" s="693"/>
      <c r="Q156" s="693"/>
      <c r="S156" s="713" t="s">
        <v>235</v>
      </c>
      <c r="T156" s="716">
        <v>0.65937500000000004</v>
      </c>
      <c r="U156" s="730">
        <v>0.34062500000000001</v>
      </c>
      <c r="V156" s="736">
        <v>1</v>
      </c>
      <c r="W156" s="48"/>
      <c r="AR156" s="694"/>
      <c r="BF156" s="694"/>
      <c r="BG156" s="694"/>
      <c r="BH156" s="694"/>
      <c r="CD156" s="756"/>
    </row>
    <row r="157" spans="3:82" ht="14">
      <c r="C157" s="693"/>
      <c r="D157" s="48"/>
      <c r="E157" s="48"/>
      <c r="F157" s="48"/>
      <c r="G157" s="48"/>
      <c r="H157" s="48"/>
      <c r="I157" s="718"/>
      <c r="J157" s="693"/>
      <c r="K157" s="693"/>
      <c r="L157" s="693"/>
      <c r="M157" s="693"/>
      <c r="N157" s="693"/>
      <c r="O157" s="693"/>
      <c r="P157" s="693"/>
      <c r="Q157" s="693"/>
      <c r="W157" s="48"/>
      <c r="AR157" s="694"/>
      <c r="BF157" s="694"/>
      <c r="BG157" s="694"/>
      <c r="BH157" s="694"/>
      <c r="CD157" s="756"/>
    </row>
    <row r="158" spans="3:82" ht="14">
      <c r="D158"/>
      <c r="E158"/>
      <c r="F158"/>
      <c r="G158"/>
      <c r="H158"/>
      <c r="I158" s="25"/>
      <c r="N158" s="8"/>
      <c r="W158" s="48"/>
      <c r="AR158" s="694"/>
      <c r="BF158" s="694"/>
      <c r="BG158" s="694"/>
      <c r="BH158" s="8"/>
      <c r="CD158" s="53"/>
    </row>
    <row r="159" spans="3:82" ht="14">
      <c r="D159"/>
      <c r="E159"/>
      <c r="F159"/>
      <c r="G159"/>
      <c r="H159"/>
      <c r="I159" s="25"/>
      <c r="N159" s="8"/>
      <c r="S159" s="693"/>
      <c r="T159" s="48"/>
      <c r="U159" s="48"/>
      <c r="V159" s="48"/>
      <c r="W159" s="48"/>
      <c r="X159" s="48"/>
      <c r="AR159" s="694"/>
      <c r="BF159" s="694"/>
      <c r="BG159" s="694"/>
      <c r="BH159" s="8"/>
      <c r="CD159" s="53"/>
    </row>
    <row r="160" spans="3:82" ht="14">
      <c r="D160"/>
      <c r="E160"/>
      <c r="F160"/>
      <c r="G160"/>
      <c r="H160"/>
      <c r="I160" s="25"/>
      <c r="T160"/>
      <c r="U160"/>
      <c r="V160"/>
      <c r="W160"/>
      <c r="AR160" s="694"/>
      <c r="BF160" s="694"/>
      <c r="BG160" s="694"/>
      <c r="BH160" s="8"/>
      <c r="CD160" s="53"/>
    </row>
    <row r="161" spans="4:82" ht="14">
      <c r="D161" s="20"/>
      <c r="E161" s="21"/>
      <c r="F161" s="21"/>
      <c r="T161"/>
      <c r="U161"/>
      <c r="V161"/>
      <c r="AR161" s="694"/>
      <c r="BF161" s="694"/>
      <c r="BG161" s="694"/>
      <c r="BH161" s="8"/>
      <c r="CD161" s="53"/>
    </row>
    <row r="162" spans="4:82" ht="14">
      <c r="D162" s="20"/>
      <c r="E162" s="21"/>
      <c r="F162" s="21"/>
      <c r="T162"/>
      <c r="U162"/>
      <c r="V162"/>
      <c r="AR162" s="8"/>
      <c r="BF162" s="694"/>
      <c r="BG162" s="694"/>
      <c r="BH162" s="8"/>
      <c r="CD162" s="53"/>
    </row>
    <row r="163" spans="4:82" ht="14">
      <c r="D163" s="20"/>
      <c r="E163" s="21"/>
      <c r="F163" s="21"/>
      <c r="AR163" s="8"/>
      <c r="BF163" s="694"/>
      <c r="BG163" s="694"/>
      <c r="BH163" s="8"/>
      <c r="CD163" s="53"/>
    </row>
    <row r="164" spans="4:82" ht="14">
      <c r="D164" s="20"/>
      <c r="E164" s="21"/>
      <c r="F164" s="21"/>
      <c r="AR164" s="8"/>
      <c r="BF164" s="694"/>
      <c r="BG164" s="694"/>
      <c r="BH164" s="8"/>
      <c r="BI164" s="8"/>
      <c r="BJ164" s="8"/>
      <c r="BK164" s="8"/>
      <c r="BL164" s="8"/>
      <c r="BM164" s="8"/>
      <c r="BN164" s="8"/>
      <c r="BO164" s="8"/>
      <c r="BP164" s="8"/>
      <c r="BQ164" s="8"/>
      <c r="BR164" s="8"/>
      <c r="BS164" s="8"/>
      <c r="BT164" s="8"/>
      <c r="BU164" s="8"/>
      <c r="BV164" s="8"/>
      <c r="BW164" s="8"/>
      <c r="BX164" s="8"/>
      <c r="BY164" s="8"/>
      <c r="BZ164" s="8"/>
      <c r="CA164" s="8"/>
      <c r="CB164" s="8"/>
      <c r="CC164" s="8"/>
      <c r="CD164" s="8"/>
    </row>
    <row r="165" spans="4:82" ht="14">
      <c r="D165" s="20"/>
      <c r="E165" s="21"/>
      <c r="F165" s="21"/>
      <c r="AR165" s="8"/>
      <c r="BF165" s="694"/>
      <c r="BG165" s="694"/>
      <c r="BH165" s="8"/>
      <c r="BI165" s="8"/>
      <c r="BJ165" s="8"/>
      <c r="BK165" s="8"/>
      <c r="BL165" s="8"/>
      <c r="BM165" s="8"/>
      <c r="BN165" s="8"/>
      <c r="BO165" s="8"/>
      <c r="BP165" s="8"/>
      <c r="BQ165" s="8"/>
      <c r="BR165" s="8"/>
      <c r="BS165" s="8"/>
      <c r="BT165" s="8"/>
      <c r="BU165" s="8"/>
      <c r="BV165" s="8"/>
      <c r="BW165" s="8"/>
      <c r="BX165" s="8"/>
      <c r="BY165" s="8"/>
      <c r="BZ165" s="8"/>
      <c r="CA165" s="8"/>
      <c r="CB165" s="8"/>
      <c r="CC165" s="8"/>
      <c r="CD165" s="8"/>
    </row>
    <row r="166" spans="4:82" ht="14">
      <c r="D166" s="20"/>
      <c r="E166" s="21"/>
      <c r="F166" s="21"/>
      <c r="AR166" s="8"/>
      <c r="BF166" s="694"/>
      <c r="BG166" s="694"/>
      <c r="BH166" s="8"/>
      <c r="BI166" s="8"/>
      <c r="BJ166" s="8"/>
      <c r="BK166" s="8"/>
      <c r="BL166" s="8"/>
      <c r="BM166" s="8"/>
      <c r="BN166" s="8"/>
      <c r="BO166" s="8"/>
      <c r="BP166" s="8"/>
      <c r="BQ166" s="8"/>
      <c r="BR166" s="8"/>
      <c r="BS166" s="8"/>
      <c r="BT166" s="8"/>
      <c r="BU166" s="8"/>
      <c r="BV166" s="8"/>
      <c r="BW166" s="8"/>
      <c r="BX166" s="8"/>
      <c r="BY166" s="8"/>
      <c r="BZ166" s="8"/>
      <c r="CA166" s="8"/>
      <c r="CB166" s="8"/>
      <c r="CC166" s="8"/>
      <c r="CD166" s="8"/>
    </row>
    <row r="167" spans="4:82" ht="14">
      <c r="D167" s="20"/>
      <c r="E167" s="21"/>
      <c r="F167" s="21"/>
      <c r="AR167" s="8"/>
      <c r="BF167" s="694"/>
      <c r="BG167" s="694"/>
      <c r="BH167" s="8"/>
      <c r="BI167" s="8"/>
      <c r="BJ167" s="8"/>
      <c r="BK167" s="8"/>
      <c r="BL167" s="8"/>
      <c r="BM167" s="8"/>
      <c r="BN167" s="8"/>
      <c r="BO167" s="8"/>
      <c r="BP167" s="8"/>
      <c r="BQ167" s="8"/>
      <c r="BR167" s="8"/>
      <c r="BS167" s="8"/>
      <c r="BT167" s="8"/>
      <c r="BU167" s="8"/>
      <c r="BV167" s="8"/>
      <c r="BW167" s="8"/>
      <c r="BX167" s="8"/>
      <c r="BY167" s="8"/>
      <c r="BZ167" s="8"/>
      <c r="CA167" s="8"/>
      <c r="CB167" s="8"/>
      <c r="CC167" s="8"/>
      <c r="CD167" s="8"/>
    </row>
    <row r="168" spans="4:82" ht="14">
      <c r="D168" s="20"/>
      <c r="E168" s="21"/>
      <c r="F168" s="21"/>
      <c r="AG168" s="8"/>
      <c r="AH168" s="8"/>
      <c r="AI168" s="8"/>
      <c r="AJ168" s="8"/>
      <c r="AK168" s="8"/>
      <c r="AL168" s="8"/>
      <c r="AM168" s="8"/>
      <c r="AN168" s="8"/>
      <c r="AO168" s="8"/>
      <c r="AP168" s="8"/>
      <c r="AQ168" s="8"/>
      <c r="AR168" s="8"/>
      <c r="AS168" s="8"/>
      <c r="AT168" s="8"/>
      <c r="AU168" s="8"/>
      <c r="AV168" s="8"/>
      <c r="BF168" s="694"/>
      <c r="BG168" s="694"/>
      <c r="BH168" s="8"/>
      <c r="BI168" s="8"/>
      <c r="BJ168" s="8"/>
      <c r="BK168" s="8"/>
      <c r="BL168" s="8"/>
      <c r="BM168" s="8"/>
      <c r="BN168" s="8"/>
      <c r="BO168" s="8"/>
      <c r="BP168" s="8"/>
      <c r="BQ168" s="8"/>
      <c r="BR168" s="8"/>
      <c r="BS168" s="8"/>
      <c r="BT168" s="8"/>
      <c r="BU168" s="8"/>
      <c r="BV168" s="8"/>
      <c r="BW168" s="8"/>
      <c r="BX168" s="8"/>
      <c r="BY168" s="8"/>
      <c r="BZ168" s="8"/>
      <c r="CA168" s="8"/>
      <c r="CB168" s="8"/>
      <c r="CC168" s="8"/>
      <c r="CD168" s="8"/>
    </row>
    <row r="169" spans="4:82">
      <c r="D169" s="20"/>
      <c r="E169" s="21"/>
      <c r="F169" s="21"/>
      <c r="AG169" s="14"/>
      <c r="AH169" s="8"/>
      <c r="AI169" s="8"/>
      <c r="AJ169" s="14"/>
      <c r="AK169" s="14"/>
      <c r="AL169" s="14"/>
      <c r="AM169" s="14"/>
      <c r="AN169" s="14"/>
      <c r="AO169" s="14"/>
      <c r="AP169" s="14"/>
      <c r="AQ169" s="14"/>
      <c r="AR169" s="14"/>
      <c r="AS169" s="8"/>
      <c r="AT169" s="8"/>
      <c r="AU169" s="8"/>
      <c r="AV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row>
    <row r="170" spans="4:82">
      <c r="D170" s="20"/>
      <c r="E170" s="21"/>
      <c r="F170" s="21"/>
      <c r="AG170" s="14"/>
      <c r="AH170" s="8"/>
      <c r="AI170" s="8"/>
      <c r="AJ170" s="14"/>
      <c r="AK170" s="14"/>
      <c r="AL170" s="14"/>
      <c r="AM170" s="14"/>
      <c r="AN170" s="14"/>
      <c r="AO170" s="14"/>
      <c r="AP170" s="14"/>
      <c r="AQ170" s="14"/>
      <c r="AR170" s="14"/>
      <c r="AS170" s="8"/>
      <c r="AT170" s="8"/>
      <c r="AU170" s="8"/>
      <c r="AV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row>
    <row r="171" spans="4:82">
      <c r="D171" s="20"/>
      <c r="E171" s="21"/>
      <c r="F171" s="21"/>
      <c r="AG171" s="14"/>
      <c r="AH171" s="8"/>
      <c r="AI171" s="8"/>
      <c r="AJ171" s="14"/>
      <c r="AK171" s="14"/>
      <c r="AL171" s="14"/>
      <c r="AM171" s="14"/>
      <c r="AN171" s="14"/>
      <c r="AO171" s="14"/>
      <c r="AP171" s="14"/>
      <c r="AQ171" s="14"/>
      <c r="AR171" s="14"/>
      <c r="AS171" s="8"/>
      <c r="AT171" s="8"/>
      <c r="AU171" s="8"/>
      <c r="AV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row>
    <row r="172" spans="4:82">
      <c r="D172" s="20"/>
      <c r="E172" s="21"/>
      <c r="F172" s="21"/>
      <c r="AG172" s="14"/>
      <c r="AH172" s="8"/>
      <c r="AI172" s="8"/>
      <c r="AJ172" s="14"/>
      <c r="AK172" s="14"/>
      <c r="AL172" s="14"/>
      <c r="AM172" s="14"/>
      <c r="AN172" s="14"/>
      <c r="AO172" s="14"/>
      <c r="AP172" s="14"/>
      <c r="AQ172" s="14"/>
      <c r="AR172" s="14"/>
      <c r="AS172" s="8"/>
      <c r="AT172" s="8"/>
      <c r="AU172" s="8"/>
      <c r="AV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row>
    <row r="173" spans="4:82">
      <c r="D173" s="20"/>
      <c r="E173" s="21"/>
      <c r="F173" s="21"/>
      <c r="AF173" s="14"/>
      <c r="AG173" s="14"/>
      <c r="AH173" s="8"/>
      <c r="AI173" s="8"/>
      <c r="AJ173" s="14"/>
      <c r="AK173" s="14"/>
      <c r="AL173" s="14"/>
      <c r="AM173" s="14"/>
      <c r="AN173" s="14"/>
      <c r="AO173" s="14"/>
      <c r="AP173" s="14"/>
      <c r="AQ173" s="14"/>
      <c r="AR173" s="14"/>
      <c r="AS173" s="8"/>
      <c r="AT173" s="8"/>
      <c r="AU173" s="8"/>
      <c r="AV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row>
    <row r="174" spans="4:82">
      <c r="D174" s="20"/>
      <c r="E174" s="21"/>
      <c r="F174" s="21"/>
      <c r="AF174" s="14"/>
      <c r="AG174" s="14"/>
      <c r="AH174" s="8"/>
      <c r="AI174" s="8"/>
      <c r="AJ174" s="14"/>
      <c r="AK174" s="14"/>
      <c r="AL174" s="14"/>
      <c r="AM174" s="14"/>
      <c r="AN174" s="14"/>
      <c r="AO174" s="14"/>
      <c r="AP174" s="14"/>
      <c r="AQ174" s="14"/>
      <c r="AR174" s="14"/>
      <c r="AS174" s="8"/>
      <c r="AT174" s="8"/>
      <c r="AU174" s="8"/>
      <c r="AV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row>
    <row r="175" spans="4:82">
      <c r="D175" s="20"/>
      <c r="E175" s="21"/>
      <c r="F175" s="21"/>
      <c r="AF175" s="14"/>
      <c r="AG175" s="14"/>
      <c r="AH175" s="8"/>
      <c r="AI175" s="8"/>
      <c r="AJ175" s="14"/>
      <c r="AK175" s="14"/>
      <c r="AL175" s="14"/>
      <c r="AM175" s="14"/>
      <c r="AN175" s="14"/>
      <c r="AO175" s="14"/>
      <c r="AP175" s="14"/>
      <c r="AQ175" s="14"/>
      <c r="AR175" s="14"/>
      <c r="AS175" s="8"/>
      <c r="AT175" s="8"/>
      <c r="AU175" s="8"/>
      <c r="AV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row>
    <row r="176" spans="4:82">
      <c r="D176" s="319" t="s">
        <v>82</v>
      </c>
      <c r="E176" s="320"/>
      <c r="F176" s="320"/>
      <c r="G176" s="324"/>
      <c r="H176" s="326"/>
      <c r="I176" s="320"/>
      <c r="J176" s="320"/>
      <c r="K176" s="22"/>
      <c r="L176" s="29" t="s">
        <v>186</v>
      </c>
      <c r="M176" s="30"/>
      <c r="N176" s="30"/>
      <c r="O176" s="30"/>
      <c r="P176" s="30"/>
      <c r="Q176" s="30"/>
      <c r="R176" s="30"/>
      <c r="S176" s="30"/>
      <c r="T176" s="30"/>
      <c r="U176" s="30"/>
      <c r="V176" s="30"/>
      <c r="AN176" s="14"/>
      <c r="AO176" s="14"/>
      <c r="AP176" s="14"/>
      <c r="AQ176" s="14"/>
      <c r="AR176" s="14"/>
      <c r="AS176" s="8"/>
      <c r="AT176" s="8"/>
      <c r="AU176" s="8"/>
      <c r="AV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row>
    <row r="177" spans="4:82" ht="14">
      <c r="D177" s="797" t="s">
        <v>432</v>
      </c>
      <c r="E177" s="773"/>
      <c r="F177" s="773"/>
      <c r="G177" s="773"/>
      <c r="H177" s="773"/>
      <c r="I177" s="773"/>
      <c r="J177" s="773"/>
      <c r="K177" s="739"/>
      <c r="L177" s="694"/>
      <c r="M177" s="694"/>
      <c r="N177" s="694"/>
      <c r="O177" s="694"/>
      <c r="P177" s="694"/>
      <c r="Q177" s="694"/>
      <c r="R177" s="694"/>
      <c r="S177" s="694"/>
      <c r="T177" s="694"/>
      <c r="U177" s="694"/>
      <c r="V177" s="694"/>
      <c r="AN177" s="14"/>
      <c r="AO177" s="14"/>
      <c r="AP177" s="14"/>
      <c r="AQ177" s="14"/>
      <c r="AR177" s="14"/>
      <c r="AS177" s="8"/>
      <c r="AT177" s="8"/>
      <c r="AU177" s="8"/>
      <c r="AV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row>
    <row r="178" spans="4:82" ht="30">
      <c r="D178" s="773"/>
      <c r="E178" s="742"/>
      <c r="F178" s="742"/>
      <c r="G178" s="742"/>
      <c r="H178" s="742"/>
      <c r="I178" s="742"/>
      <c r="J178" s="742"/>
      <c r="K178" s="692"/>
      <c r="L178" s="798"/>
      <c r="M178" s="794" t="s">
        <v>101</v>
      </c>
      <c r="N178" s="791"/>
      <c r="O178" s="792" t="s">
        <v>102</v>
      </c>
      <c r="P178" s="793"/>
      <c r="Q178" s="794" t="s">
        <v>67</v>
      </c>
      <c r="R178" s="791"/>
      <c r="S178" s="792" t="s">
        <v>103</v>
      </c>
      <c r="T178" s="793"/>
      <c r="U178" s="794" t="s">
        <v>68</v>
      </c>
      <c r="V178" s="791"/>
      <c r="AN178" s="14"/>
      <c r="AO178" s="14"/>
      <c r="AP178" s="14"/>
      <c r="AQ178" s="14"/>
      <c r="AR178" s="14"/>
      <c r="AS178" s="8"/>
      <c r="AT178" s="8"/>
      <c r="AU178" s="8"/>
      <c r="AV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row>
    <row r="179" spans="4:82" ht="14">
      <c r="D179" s="785" t="s">
        <v>16</v>
      </c>
      <c r="E179" s="742"/>
      <c r="F179" s="742"/>
      <c r="G179" s="742"/>
      <c r="H179" s="742"/>
      <c r="I179" s="742"/>
      <c r="J179" s="742"/>
      <c r="K179" s="692"/>
      <c r="L179" s="796"/>
      <c r="M179" s="795" t="s">
        <v>27</v>
      </c>
      <c r="N179" s="795" t="s">
        <v>47</v>
      </c>
      <c r="O179" s="795" t="s">
        <v>27</v>
      </c>
      <c r="P179" s="795" t="s">
        <v>47</v>
      </c>
      <c r="Q179" s="795" t="s">
        <v>27</v>
      </c>
      <c r="R179" s="795" t="s">
        <v>47</v>
      </c>
      <c r="S179" s="795" t="s">
        <v>27</v>
      </c>
      <c r="T179" s="795" t="s">
        <v>47</v>
      </c>
      <c r="U179" s="795" t="s">
        <v>27</v>
      </c>
      <c r="V179" s="795" t="s">
        <v>47</v>
      </c>
      <c r="AN179" s="14"/>
      <c r="AO179" s="14"/>
      <c r="AP179" s="14"/>
      <c r="AQ179" s="14"/>
      <c r="AR179" s="14"/>
      <c r="AS179" s="8"/>
      <c r="AT179" s="8"/>
      <c r="AU179" s="8"/>
      <c r="AV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row>
    <row r="180" spans="4:82" ht="14">
      <c r="D180" s="742"/>
      <c r="E180" s="742"/>
      <c r="F180" s="742"/>
      <c r="G180" s="742"/>
      <c r="H180" s="742"/>
      <c r="I180" s="742"/>
      <c r="J180" s="742"/>
      <c r="K180" s="692"/>
      <c r="L180" s="796" t="s">
        <v>104</v>
      </c>
      <c r="M180" s="799"/>
      <c r="N180" s="799"/>
      <c r="O180" s="799"/>
      <c r="P180" s="799"/>
      <c r="Q180" s="799"/>
      <c r="R180" s="799"/>
      <c r="S180" s="799"/>
      <c r="T180" s="799"/>
      <c r="U180" s="799"/>
      <c r="V180" s="799"/>
      <c r="AN180" s="14"/>
      <c r="AO180" s="14"/>
      <c r="AP180" s="14"/>
      <c r="AQ180" s="14"/>
      <c r="AR180" s="14"/>
      <c r="AS180" s="8"/>
      <c r="AT180" s="8"/>
      <c r="AU180" s="8"/>
      <c r="AV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row>
    <row r="181" spans="4:82" ht="14">
      <c r="D181" s="742"/>
      <c r="E181" s="742"/>
      <c r="F181" s="742"/>
      <c r="G181" s="742"/>
      <c r="H181" s="742"/>
      <c r="I181" s="742"/>
      <c r="J181" s="742"/>
      <c r="K181" s="692"/>
      <c r="L181" s="796" t="s">
        <v>105</v>
      </c>
      <c r="M181" s="799"/>
      <c r="N181" s="799"/>
      <c r="O181" s="799"/>
      <c r="P181" s="799"/>
      <c r="Q181" s="799"/>
      <c r="R181" s="799"/>
      <c r="S181" s="799"/>
      <c r="T181" s="799"/>
      <c r="U181" s="799"/>
      <c r="V181" s="799"/>
      <c r="AN181" s="14"/>
      <c r="AO181" s="14"/>
      <c r="AP181" s="14"/>
      <c r="AQ181" s="14"/>
      <c r="AR181" s="14"/>
      <c r="AS181" s="8"/>
      <c r="AT181" s="8"/>
      <c r="AU181" s="8"/>
      <c r="AV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row>
    <row r="182" spans="4:82" ht="14">
      <c r="D182" s="742"/>
      <c r="E182" s="742"/>
      <c r="F182" s="742"/>
      <c r="G182" s="742"/>
      <c r="H182" s="742"/>
      <c r="I182" s="742"/>
      <c r="J182" s="742"/>
      <c r="K182" s="692"/>
      <c r="L182" s="796" t="s">
        <v>106</v>
      </c>
      <c r="M182" s="799"/>
      <c r="N182" s="799"/>
      <c r="O182" s="799"/>
      <c r="P182" s="799"/>
      <c r="Q182" s="799"/>
      <c r="R182" s="799"/>
      <c r="S182" s="799"/>
      <c r="T182" s="799"/>
      <c r="U182" s="799"/>
      <c r="V182" s="799"/>
      <c r="AN182" s="14"/>
      <c r="AO182" s="14"/>
      <c r="AP182" s="14"/>
      <c r="AQ182" s="14"/>
      <c r="AR182" s="14"/>
      <c r="AS182" s="8"/>
      <c r="AT182" s="8"/>
      <c r="AU182" s="8"/>
      <c r="AV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row>
    <row r="183" spans="4:82" ht="14">
      <c r="D183" s="742"/>
      <c r="E183" s="742"/>
      <c r="F183" s="742"/>
      <c r="G183" s="742"/>
      <c r="H183" s="742"/>
      <c r="I183" s="742"/>
      <c r="J183" s="742"/>
      <c r="K183" s="692"/>
      <c r="L183" s="796" t="s">
        <v>107</v>
      </c>
      <c r="M183" s="799"/>
      <c r="N183" s="799"/>
      <c r="O183" s="799"/>
      <c r="P183" s="799"/>
      <c r="Q183" s="799"/>
      <c r="R183" s="799"/>
      <c r="S183" s="799"/>
      <c r="T183" s="799"/>
      <c r="U183" s="799"/>
      <c r="V183" s="799"/>
      <c r="AN183" s="14"/>
      <c r="AO183" s="14"/>
      <c r="AP183" s="14"/>
      <c r="AQ183" s="14"/>
      <c r="AR183" s="14"/>
      <c r="AS183" s="8"/>
      <c r="AT183" s="8"/>
      <c r="AU183" s="8"/>
      <c r="AV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row>
    <row r="184" spans="4:82" ht="14">
      <c r="D184" s="743"/>
      <c r="E184" s="743" t="s">
        <v>14</v>
      </c>
      <c r="F184" s="744" t="s">
        <v>131</v>
      </c>
      <c r="G184" s="744"/>
      <c r="H184" s="744"/>
      <c r="I184" s="744"/>
      <c r="J184" s="745"/>
      <c r="K184" s="987"/>
      <c r="L184" s="796" t="s">
        <v>108</v>
      </c>
      <c r="M184" s="799"/>
      <c r="N184" s="799"/>
      <c r="O184" s="799"/>
      <c r="P184" s="799"/>
      <c r="Q184" s="799"/>
      <c r="R184" s="799"/>
      <c r="S184" s="799"/>
      <c r="T184" s="799"/>
      <c r="U184" s="799"/>
      <c r="V184" s="799"/>
      <c r="AN184" s="14"/>
      <c r="AO184" s="14"/>
      <c r="AP184" s="14"/>
      <c r="AQ184" s="14"/>
      <c r="AR184" s="14"/>
      <c r="AS184" s="8"/>
      <c r="AT184" s="8"/>
      <c r="AU184" s="8"/>
      <c r="AV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row>
    <row r="185" spans="4:82" ht="14">
      <c r="D185" s="774"/>
      <c r="E185" s="743" t="s">
        <v>47</v>
      </c>
      <c r="F185" s="744"/>
      <c r="G185" s="743" t="s">
        <v>27</v>
      </c>
      <c r="H185" s="744"/>
      <c r="I185" s="743" t="s">
        <v>938</v>
      </c>
      <c r="J185" s="747" t="s">
        <v>936</v>
      </c>
      <c r="K185" s="987"/>
      <c r="L185" s="796" t="s">
        <v>109</v>
      </c>
      <c r="M185" s="799"/>
      <c r="N185" s="799"/>
      <c r="O185" s="799"/>
      <c r="P185" s="799"/>
      <c r="Q185" s="799"/>
      <c r="R185" s="799"/>
      <c r="S185" s="799"/>
      <c r="T185" s="799"/>
      <c r="U185" s="799"/>
      <c r="V185" s="799"/>
      <c r="AN185" s="14"/>
      <c r="AO185" s="14"/>
      <c r="AP185" s="14"/>
      <c r="AQ185" s="14"/>
      <c r="AR185" s="14"/>
      <c r="AS185" s="8"/>
      <c r="AT185" s="8"/>
      <c r="AU185" s="8"/>
      <c r="AV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row>
    <row r="186" spans="4:82" ht="14">
      <c r="D186" s="743" t="s">
        <v>12</v>
      </c>
      <c r="E186" s="743" t="s">
        <v>939</v>
      </c>
      <c r="F186" s="746" t="s">
        <v>937</v>
      </c>
      <c r="G186" s="743" t="s">
        <v>939</v>
      </c>
      <c r="H186" s="746" t="s">
        <v>937</v>
      </c>
      <c r="I186" s="774"/>
      <c r="J186" s="775"/>
      <c r="K186" s="987"/>
      <c r="L186" s="54" t="s">
        <v>110</v>
      </c>
      <c r="M186" s="56"/>
      <c r="N186" s="56"/>
      <c r="O186" s="56"/>
      <c r="P186" s="56"/>
      <c r="Q186" s="56"/>
      <c r="R186" s="56"/>
      <c r="S186" s="56"/>
      <c r="T186" s="56"/>
      <c r="U186" s="56"/>
      <c r="V186" s="56"/>
      <c r="AN186" s="14"/>
      <c r="AO186" s="14"/>
      <c r="AP186" s="14"/>
      <c r="AQ186" s="14"/>
      <c r="AR186" s="14"/>
      <c r="AS186" s="8"/>
      <c r="AT186" s="8"/>
      <c r="AU186" s="8"/>
      <c r="AV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row>
    <row r="187" spans="4:82" ht="14">
      <c r="D187" s="743" t="s">
        <v>3</v>
      </c>
      <c r="E187" s="748">
        <v>57</v>
      </c>
      <c r="F187" s="776">
        <v>0.32947976878612717</v>
      </c>
      <c r="G187" s="748">
        <v>116</v>
      </c>
      <c r="H187" s="776">
        <v>0.67052023121387283</v>
      </c>
      <c r="I187" s="748">
        <v>173</v>
      </c>
      <c r="J187" s="984">
        <v>1</v>
      </c>
      <c r="K187" s="988"/>
      <c r="L187" s="54" t="s">
        <v>111</v>
      </c>
      <c r="M187" s="56"/>
      <c r="N187" s="56"/>
      <c r="O187" s="56"/>
      <c r="P187" s="56"/>
      <c r="Q187" s="56"/>
      <c r="R187" s="56"/>
      <c r="S187" s="56"/>
      <c r="T187" s="56"/>
      <c r="U187" s="56"/>
      <c r="V187" s="56"/>
      <c r="AN187" s="14"/>
      <c r="AO187" s="14"/>
      <c r="AP187" s="14"/>
      <c r="AQ187" s="14"/>
      <c r="AR187" s="14"/>
      <c r="AS187" s="8"/>
      <c r="AT187" s="8"/>
      <c r="AU187" s="8"/>
      <c r="AV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row>
    <row r="188" spans="4:82" ht="14">
      <c r="D188" s="750" t="s">
        <v>49</v>
      </c>
      <c r="E188" s="751">
        <v>27</v>
      </c>
      <c r="F188" s="779">
        <v>0.77142857142857146</v>
      </c>
      <c r="G188" s="751">
        <v>8</v>
      </c>
      <c r="H188" s="779">
        <v>0.22857142857142856</v>
      </c>
      <c r="I188" s="751">
        <v>35</v>
      </c>
      <c r="J188" s="985">
        <v>1</v>
      </c>
      <c r="K188" s="988"/>
      <c r="L188" s="54" t="s">
        <v>112</v>
      </c>
      <c r="M188" s="57"/>
      <c r="N188" s="56"/>
      <c r="O188" s="56"/>
      <c r="P188" s="56"/>
      <c r="Q188" s="56"/>
      <c r="R188" s="56"/>
      <c r="S188" s="56"/>
      <c r="T188" s="56"/>
      <c r="U188" s="56"/>
      <c r="V188" s="56"/>
      <c r="AN188" s="14"/>
      <c r="AO188" s="14"/>
      <c r="AP188" s="14"/>
      <c r="AQ188" s="14"/>
      <c r="AR188" s="14"/>
      <c r="AS188" s="8"/>
      <c r="AT188" s="8"/>
      <c r="AU188" s="8"/>
      <c r="AV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row>
    <row r="189" spans="4:82" ht="14">
      <c r="D189" s="750" t="s">
        <v>50</v>
      </c>
      <c r="E189" s="751">
        <v>33</v>
      </c>
      <c r="F189" s="779">
        <v>0.33333333333333331</v>
      </c>
      <c r="G189" s="751">
        <v>66</v>
      </c>
      <c r="H189" s="779">
        <v>0.66666666666666663</v>
      </c>
      <c r="I189" s="751">
        <v>99</v>
      </c>
      <c r="J189" s="985">
        <v>1</v>
      </c>
      <c r="K189" s="988"/>
      <c r="L189" s="54" t="s">
        <v>113</v>
      </c>
      <c r="M189" s="56"/>
      <c r="N189" s="56"/>
      <c r="O189" s="56"/>
      <c r="P189" s="56"/>
      <c r="Q189" s="56"/>
      <c r="R189" s="56"/>
      <c r="S189" s="56"/>
      <c r="T189" s="56"/>
      <c r="U189" s="56"/>
      <c r="V189" s="56"/>
      <c r="AN189" s="14"/>
      <c r="AO189" s="14"/>
      <c r="AP189" s="14"/>
      <c r="AQ189" s="14"/>
      <c r="AR189" s="14"/>
      <c r="AS189" s="8"/>
      <c r="AT189" s="8"/>
      <c r="AU189" s="8"/>
      <c r="AV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row>
    <row r="190" spans="4:82" ht="14">
      <c r="D190" s="750" t="s">
        <v>51</v>
      </c>
      <c r="E190" s="751">
        <v>3</v>
      </c>
      <c r="F190" s="779">
        <v>0.23076923076923078</v>
      </c>
      <c r="G190" s="751">
        <v>10</v>
      </c>
      <c r="H190" s="779">
        <v>0.76923076923076927</v>
      </c>
      <c r="I190" s="751">
        <v>13</v>
      </c>
      <c r="J190" s="985">
        <v>1</v>
      </c>
      <c r="K190" s="988"/>
      <c r="L190" s="58" t="s">
        <v>114</v>
      </c>
      <c r="M190" s="59"/>
      <c r="N190" s="59"/>
      <c r="O190" s="59"/>
      <c r="P190" s="59"/>
      <c r="Q190" s="59"/>
      <c r="R190" s="59"/>
      <c r="S190" s="59"/>
      <c r="T190" s="59"/>
      <c r="U190" s="59"/>
      <c r="V190" s="59"/>
      <c r="AN190" s="14"/>
      <c r="AO190" s="14"/>
      <c r="AP190" s="14"/>
      <c r="AQ190" s="14"/>
      <c r="AR190" s="14"/>
      <c r="AS190" s="8"/>
      <c r="AT190" s="8"/>
      <c r="AU190" s="8"/>
      <c r="AV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row>
    <row r="191" spans="4:82" ht="14">
      <c r="D191" s="753" t="s">
        <v>235</v>
      </c>
      <c r="E191" s="754">
        <v>120</v>
      </c>
      <c r="F191" s="786">
        <v>0.375</v>
      </c>
      <c r="G191" s="754">
        <v>200</v>
      </c>
      <c r="H191" s="786">
        <v>0.625</v>
      </c>
      <c r="I191" s="754">
        <v>320</v>
      </c>
      <c r="J191" s="986">
        <v>1</v>
      </c>
      <c r="K191" s="988"/>
      <c r="L191" s="60"/>
      <c r="M191" s="55"/>
      <c r="N191" s="55"/>
      <c r="O191" s="55"/>
      <c r="P191" s="55"/>
      <c r="Q191" s="55"/>
      <c r="R191" s="55"/>
      <c r="S191" s="55"/>
      <c r="T191" s="55"/>
      <c r="U191" s="55"/>
      <c r="V191" s="55"/>
      <c r="AN191" s="14"/>
      <c r="AO191" s="14"/>
      <c r="AP191" s="14"/>
      <c r="AQ191" s="14"/>
      <c r="AR191" s="14"/>
      <c r="AS191" s="8"/>
      <c r="AT191" s="8"/>
      <c r="AU191" s="8"/>
      <c r="AV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row>
    <row r="192" spans="4:82">
      <c r="D192"/>
      <c r="E192"/>
      <c r="F192"/>
      <c r="G192"/>
      <c r="H192"/>
      <c r="I192"/>
      <c r="J192"/>
      <c r="R192" s="8"/>
      <c r="S192" s="8"/>
      <c r="AN192" s="14"/>
      <c r="AO192" s="14"/>
      <c r="AP192" s="14"/>
      <c r="AQ192" s="14"/>
      <c r="AR192" s="14"/>
      <c r="AS192" s="8"/>
      <c r="AT192" s="8"/>
      <c r="AU192" s="8"/>
      <c r="AV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row>
    <row r="193" spans="4:82" ht="48" customHeight="1">
      <c r="D193" s="1407" t="s">
        <v>472</v>
      </c>
      <c r="E193" s="1408"/>
      <c r="F193" s="1409"/>
      <c r="G193" s="1410" t="s">
        <v>477</v>
      </c>
      <c r="H193" s="1411"/>
      <c r="I193" s="1411"/>
      <c r="J193" s="1411"/>
      <c r="K193" s="1411"/>
      <c r="L193" s="1411"/>
      <c r="M193" s="1411"/>
      <c r="N193" s="1411"/>
      <c r="O193" s="1411"/>
      <c r="P193" s="1411"/>
      <c r="Q193" s="1411"/>
      <c r="R193" s="1411"/>
      <c r="S193" s="1411"/>
      <c r="T193" s="1411"/>
      <c r="U193" s="1411"/>
      <c r="V193" s="1411"/>
      <c r="W193" s="866"/>
      <c r="X193" s="866"/>
      <c r="AF193" s="14"/>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row>
    <row r="194" spans="4:82" ht="48" customHeight="1">
      <c r="D194" s="1407" t="s">
        <v>473</v>
      </c>
      <c r="E194" s="1408"/>
      <c r="F194" s="1409"/>
      <c r="G194" s="1410" t="s">
        <v>478</v>
      </c>
      <c r="H194" s="1411"/>
      <c r="I194" s="1411"/>
      <c r="J194" s="1411"/>
      <c r="K194" s="1411"/>
      <c r="L194" s="1411"/>
      <c r="M194" s="1411"/>
      <c r="N194" s="1411"/>
      <c r="O194" s="1411"/>
      <c r="P194" s="1411"/>
      <c r="Q194" s="1411"/>
      <c r="R194" s="1411"/>
      <c r="S194" s="1411"/>
      <c r="T194" s="1411"/>
      <c r="U194" s="1411"/>
      <c r="V194" s="1411"/>
      <c r="W194" s="866"/>
      <c r="X194" s="866"/>
      <c r="AF194" s="14"/>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row>
    <row r="195" spans="4:82">
      <c r="AF195" s="14"/>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row>
    <row r="196" spans="4:82">
      <c r="AF196" s="14"/>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row>
    <row r="197" spans="4:82">
      <c r="AF197" s="14"/>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row>
    <row r="198" spans="4:82">
      <c r="AF198" s="14"/>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row>
    <row r="199" spans="4:82">
      <c r="AF199" s="14"/>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row>
  </sheetData>
  <mergeCells count="26">
    <mergeCell ref="C147:S147"/>
    <mergeCell ref="C143:D143"/>
    <mergeCell ref="D193:F193"/>
    <mergeCell ref="D194:F194"/>
    <mergeCell ref="C104:S104"/>
    <mergeCell ref="G193:V193"/>
    <mergeCell ref="G194:V194"/>
    <mergeCell ref="C100:D100"/>
    <mergeCell ref="D136:F136"/>
    <mergeCell ref="G136:AD136"/>
    <mergeCell ref="D137:F137"/>
    <mergeCell ref="G137:AD137"/>
    <mergeCell ref="D93:F93"/>
    <mergeCell ref="G93:AD93"/>
    <mergeCell ref="C59:E59"/>
    <mergeCell ref="D92:F92"/>
    <mergeCell ref="G92:AD92"/>
    <mergeCell ref="AB63:AI63"/>
    <mergeCell ref="AB64:AI64"/>
    <mergeCell ref="N1:O1"/>
    <mergeCell ref="C19:E19"/>
    <mergeCell ref="D52:F52"/>
    <mergeCell ref="G52:AD52"/>
    <mergeCell ref="D53:F53"/>
    <mergeCell ref="G53:AD53"/>
    <mergeCell ref="D1:E1"/>
  </mergeCells>
  <hyperlinks>
    <hyperlink ref="N1" location="'Bilan EGALIZ'!A1" display="BILAN EGALIZ" xr:uid="{E9D4F376-DDAB-0B46-9C1F-1B592A783C26}"/>
    <hyperlink ref="N1:O1" location="DIAGNOSTIC!A1" display="BILAN EGALIZ" xr:uid="{A0DAA2EC-95A1-C94E-ACAA-1F29116D0E97}"/>
    <hyperlink ref="D1" location="'Bilan EGALIZ'!A1" display="BILAN EGALIZ" xr:uid="{CDC3EF26-EE86-9B48-899F-58D30DB48A37}"/>
    <hyperlink ref="D1:E1" location="SOMMAIRE!A1" display="SOMMAIRE" xr:uid="{C69FF3CA-C106-2344-92E6-D2DE0C8BB65E}"/>
  </hyperlinks>
  <pageMargins left="0.78740157499999996" right="0.78740157499999996" top="0.984251969" bottom="0.984251969" header="0.5" footer="0.5"/>
  <pageSetup paperSize="9" orientation="landscape" horizontalDpi="4294967292" verticalDpi="4294967292"/>
  <headerFooter alignWithMargins="0"/>
  <drawing r:id="rId17"/>
  <extLst>
    <ext xmlns:x14="http://schemas.microsoft.com/office/spreadsheetml/2009/9/main" uri="{A8765BA9-456A-4dab-B4F3-ACF838C121DE}">
      <x14:slicerList>
        <x14:slicer r:id="rId1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theme="8"/>
  </sheetPr>
  <dimension ref="A1:BB99"/>
  <sheetViews>
    <sheetView showGridLines="0" workbookViewId="0">
      <pane ySplit="6" topLeftCell="A7" activePane="bottomLeft" state="frozen"/>
      <selection pane="bottomLeft" activeCell="E1" sqref="E1:F1"/>
    </sheetView>
  </sheetViews>
  <sheetFormatPr baseColWidth="10" defaultColWidth="11.83203125" defaultRowHeight="13"/>
  <cols>
    <col min="1" max="1" width="9.6640625" style="119" customWidth="1"/>
    <col min="2" max="2" width="3.6640625" style="14" customWidth="1"/>
    <col min="3" max="3" width="2.5" style="17" customWidth="1"/>
    <col min="4" max="4" width="18.1640625" style="17" bestFit="1" customWidth="1"/>
    <col min="5" max="5" width="20.83203125" style="17" bestFit="1" customWidth="1"/>
    <col min="6" max="6" width="4.6640625" style="17" bestFit="1" customWidth="1"/>
    <col min="7" max="7" width="11" style="17" bestFit="1" customWidth="1"/>
    <col min="8" max="8" width="11.1640625" style="17" customWidth="1"/>
    <col min="9" max="9" width="19.5" style="17" bestFit="1" customWidth="1"/>
    <col min="10" max="10" width="22.1640625" style="17" bestFit="1" customWidth="1"/>
    <col min="11" max="11" width="5.33203125" style="17" bestFit="1" customWidth="1"/>
    <col min="12" max="12" width="11.6640625" style="17" bestFit="1" customWidth="1"/>
    <col min="13" max="13" width="12.83203125" style="17" customWidth="1"/>
    <col min="14" max="14" width="19.5" style="17" bestFit="1" customWidth="1"/>
    <col min="15" max="15" width="22.1640625" style="17" bestFit="1" customWidth="1"/>
    <col min="16" max="18" width="6.5" style="17" bestFit="1" customWidth="1"/>
    <col min="19" max="19" width="12.6640625" style="17" customWidth="1"/>
    <col min="20" max="20" width="6.5" style="17" bestFit="1" customWidth="1"/>
    <col min="21" max="21" width="11.6640625" style="17" bestFit="1" customWidth="1"/>
    <col min="22" max="23" width="8.1640625" style="17" customWidth="1"/>
    <col min="24" max="24" width="64.6640625" style="17" customWidth="1"/>
    <col min="25" max="25" width="64.6640625" style="4" customWidth="1"/>
    <col min="26" max="28" width="11.83203125" style="4"/>
    <col min="29" max="34" width="4.1640625" style="4" customWidth="1"/>
    <col min="35" max="35" width="11.83203125" style="4"/>
    <col min="36" max="37" width="29.6640625" style="4" customWidth="1"/>
    <col min="38" max="45" width="6.1640625" style="4" customWidth="1"/>
    <col min="46" max="46" width="11.83203125" style="4"/>
    <col min="47" max="48" width="65.1640625" style="4" customWidth="1"/>
    <col min="49" max="55" width="4.83203125" style="4" customWidth="1"/>
    <col min="56" max="57" width="55.1640625" style="4" customWidth="1"/>
    <col min="58" max="63" width="2.6640625" style="4" customWidth="1"/>
    <col min="64" max="65" width="31.1640625" style="4" customWidth="1"/>
    <col min="66" max="16384" width="11.83203125" style="4"/>
  </cols>
  <sheetData>
    <row r="1" spans="1:54" s="119" customFormat="1" ht="63" customHeight="1">
      <c r="A1" s="118"/>
      <c r="E1" s="1295" t="s">
        <v>980</v>
      </c>
      <c r="F1" s="1295"/>
      <c r="R1" s="1286" t="s">
        <v>382</v>
      </c>
      <c r="S1" s="1286"/>
    </row>
    <row r="2" spans="1:54" customFormat="1">
      <c r="A2" s="119"/>
      <c r="B2" s="3"/>
      <c r="C2" s="3"/>
    </row>
    <row r="3" spans="1:54" s="32" customFormat="1" ht="18">
      <c r="A3" s="119"/>
      <c r="B3" s="3"/>
      <c r="C3" s="31"/>
      <c r="D3" s="31" t="s">
        <v>127</v>
      </c>
      <c r="E3" s="17"/>
      <c r="F3" s="17"/>
      <c r="G3" s="17"/>
      <c r="H3" s="17"/>
      <c r="I3" s="17"/>
      <c r="J3" s="17"/>
      <c r="K3" s="17"/>
      <c r="L3" s="17"/>
      <c r="M3" s="17"/>
      <c r="N3" s="17"/>
      <c r="O3" s="17"/>
      <c r="P3" s="17"/>
      <c r="Q3" s="17"/>
      <c r="R3" s="1459" t="s">
        <v>382</v>
      </c>
      <c r="S3" s="1459"/>
      <c r="T3" s="17"/>
      <c r="U3" s="17"/>
      <c r="V3" s="17"/>
      <c r="W3"/>
      <c r="X3"/>
      <c r="Y3"/>
      <c r="Z3"/>
      <c r="AA3"/>
      <c r="AB3"/>
      <c r="AC3"/>
      <c r="AD3"/>
      <c r="AE3"/>
      <c r="AF3"/>
      <c r="AG3"/>
      <c r="AH3"/>
      <c r="AI3"/>
      <c r="AJ3"/>
      <c r="AK3"/>
      <c r="AL3"/>
      <c r="AM3"/>
      <c r="AN3"/>
      <c r="AO3"/>
      <c r="AP3"/>
      <c r="AQ3"/>
      <c r="AR3"/>
      <c r="AS3"/>
      <c r="AT3"/>
      <c r="AU3"/>
      <c r="AV3"/>
    </row>
    <row r="4" spans="1:54" s="32" customFormat="1" ht="6" customHeight="1">
      <c r="A4" s="119"/>
      <c r="B4" s="3"/>
      <c r="C4" s="31"/>
      <c r="D4" s="17"/>
      <c r="E4" s="17"/>
      <c r="F4" s="17"/>
      <c r="G4" s="17"/>
      <c r="H4" s="17"/>
      <c r="I4" s="17"/>
      <c r="J4" s="17"/>
      <c r="K4" s="17"/>
      <c r="L4" s="17"/>
      <c r="M4" s="17"/>
      <c r="N4" s="17"/>
      <c r="O4" s="17"/>
      <c r="P4" s="17"/>
      <c r="Q4" s="17"/>
      <c r="R4" s="17"/>
      <c r="S4" s="17"/>
      <c r="T4" s="17"/>
      <c r="U4" s="17"/>
      <c r="V4" s="17"/>
      <c r="W4"/>
      <c r="X4"/>
      <c r="Y4"/>
      <c r="Z4"/>
      <c r="AA4"/>
      <c r="AB4"/>
      <c r="AC4"/>
      <c r="AD4"/>
      <c r="AE4"/>
      <c r="AF4"/>
      <c r="AG4"/>
      <c r="AH4"/>
      <c r="AI4"/>
      <c r="AJ4"/>
      <c r="AK4"/>
      <c r="AL4"/>
      <c r="AM4"/>
      <c r="AN4"/>
      <c r="AO4"/>
      <c r="AP4"/>
      <c r="AQ4"/>
      <c r="AR4"/>
      <c r="AS4"/>
      <c r="AT4"/>
      <c r="AU4"/>
      <c r="AV4"/>
    </row>
    <row r="5" spans="1:54" s="32" customFormat="1" ht="20" customHeight="1">
      <c r="A5" s="119"/>
      <c r="B5" s="3"/>
      <c r="C5" s="31"/>
      <c r="D5" s="358" t="s">
        <v>469</v>
      </c>
      <c r="E5" s="17"/>
      <c r="F5" s="17"/>
      <c r="G5" s="17"/>
      <c r="H5" s="17"/>
      <c r="I5" s="17"/>
      <c r="J5" s="17"/>
      <c r="K5" s="17"/>
      <c r="L5" s="17"/>
      <c r="M5" s="17"/>
      <c r="N5" s="17"/>
      <c r="O5" s="17"/>
      <c r="P5" s="17"/>
      <c r="Q5" s="17"/>
      <c r="R5" s="17"/>
      <c r="S5" s="17"/>
      <c r="T5" s="17"/>
      <c r="U5" s="17"/>
      <c r="V5" s="17"/>
      <c r="W5"/>
      <c r="X5"/>
      <c r="Y5"/>
      <c r="Z5"/>
      <c r="AA5"/>
      <c r="AB5"/>
      <c r="AC5"/>
      <c r="AD5"/>
      <c r="AE5"/>
      <c r="AF5"/>
      <c r="AG5"/>
      <c r="AH5"/>
      <c r="AI5"/>
      <c r="AJ5"/>
      <c r="AK5"/>
      <c r="AL5"/>
      <c r="AM5"/>
      <c r="AN5"/>
      <c r="AO5"/>
      <c r="AP5"/>
      <c r="AQ5"/>
      <c r="AR5"/>
      <c r="AS5"/>
      <c r="AT5"/>
      <c r="AU5"/>
      <c r="AV5"/>
    </row>
    <row r="6" spans="1:54" s="32" customFormat="1" ht="18">
      <c r="A6" s="119"/>
      <c r="B6" s="3"/>
      <c r="C6" s="31"/>
      <c r="D6" s="6" t="s">
        <v>194</v>
      </c>
      <c r="E6" s="322"/>
      <c r="F6" s="322"/>
      <c r="G6" s="322"/>
      <c r="H6" s="322"/>
      <c r="I6" s="322"/>
      <c r="J6" s="322"/>
      <c r="K6" s="322"/>
      <c r="L6" s="322"/>
      <c r="M6" s="17"/>
      <c r="N6" s="17"/>
      <c r="O6" s="17"/>
      <c r="P6" s="17"/>
      <c r="Q6" s="17"/>
      <c r="R6" s="1460" t="s">
        <v>239</v>
      </c>
      <c r="S6" s="1460"/>
      <c r="T6" s="17"/>
      <c r="U6" s="17"/>
      <c r="V6" s="17"/>
      <c r="W6"/>
      <c r="X6"/>
      <c r="Y6"/>
      <c r="Z6"/>
      <c r="AA6"/>
      <c r="AB6"/>
      <c r="AC6"/>
      <c r="AD6"/>
      <c r="AE6"/>
      <c r="AF6"/>
      <c r="AG6"/>
      <c r="AH6"/>
      <c r="AI6"/>
      <c r="AJ6"/>
      <c r="AK6"/>
      <c r="AL6"/>
      <c r="AM6"/>
      <c r="AN6"/>
      <c r="AO6"/>
      <c r="AP6"/>
      <c r="AQ6"/>
      <c r="AR6"/>
      <c r="AS6"/>
      <c r="AT6"/>
      <c r="AU6"/>
      <c r="AV6"/>
    </row>
    <row r="7" spans="1:54" s="32" customFormat="1">
      <c r="A7" s="119"/>
      <c r="B7" s="3"/>
      <c r="C7" s="31"/>
      <c r="D7" s="323"/>
      <c r="E7" s="322"/>
      <c r="F7" s="322"/>
      <c r="G7" s="322"/>
      <c r="H7" s="322"/>
      <c r="I7" s="322"/>
      <c r="J7" s="322"/>
      <c r="K7" s="322"/>
      <c r="L7" s="322"/>
      <c r="M7" s="17"/>
      <c r="N7" s="17"/>
      <c r="O7" s="17"/>
      <c r="P7" s="17"/>
      <c r="Q7" s="17"/>
      <c r="R7" s="17"/>
      <c r="S7" s="17"/>
      <c r="T7" s="17"/>
      <c r="U7" s="17"/>
      <c r="V7" s="17"/>
      <c r="W7"/>
      <c r="X7"/>
      <c r="Y7"/>
      <c r="Z7"/>
      <c r="AA7"/>
      <c r="AB7"/>
      <c r="AC7"/>
      <c r="AD7"/>
      <c r="AE7"/>
      <c r="AF7"/>
      <c r="AG7"/>
      <c r="AH7"/>
      <c r="AI7"/>
      <c r="AJ7"/>
      <c r="AK7"/>
      <c r="AL7"/>
      <c r="AM7"/>
      <c r="AN7"/>
      <c r="AO7"/>
      <c r="AP7"/>
      <c r="AQ7"/>
      <c r="AR7"/>
      <c r="AS7"/>
      <c r="AT7"/>
      <c r="AU7"/>
      <c r="AV7"/>
    </row>
    <row r="8" spans="1:54" s="32" customFormat="1">
      <c r="A8" s="119"/>
      <c r="B8" s="3"/>
      <c r="C8" s="31"/>
      <c r="D8" s="333" t="s">
        <v>432</v>
      </c>
      <c r="E8" s="334"/>
      <c r="F8" s="334"/>
      <c r="G8" s="334"/>
      <c r="H8" s="334"/>
      <c r="I8" s="334"/>
      <c r="J8" s="334"/>
      <c r="K8" s="334"/>
      <c r="L8" s="334"/>
      <c r="M8" s="317"/>
      <c r="N8" s="317"/>
      <c r="O8" s="317"/>
      <c r="P8" s="17"/>
      <c r="Q8" s="17"/>
      <c r="R8" s="17"/>
      <c r="S8" s="17"/>
      <c r="T8" s="17"/>
      <c r="U8" s="17"/>
      <c r="V8" s="17"/>
      <c r="W8"/>
      <c r="X8"/>
      <c r="Y8"/>
      <c r="Z8"/>
      <c r="AA8"/>
      <c r="AB8"/>
      <c r="AC8"/>
      <c r="AD8"/>
      <c r="AE8"/>
      <c r="AF8"/>
      <c r="AG8"/>
      <c r="AH8"/>
      <c r="AI8"/>
      <c r="AJ8"/>
      <c r="AK8"/>
      <c r="AL8"/>
      <c r="AM8"/>
      <c r="AN8"/>
      <c r="AO8"/>
      <c r="AP8"/>
      <c r="AQ8"/>
      <c r="AR8"/>
      <c r="AS8"/>
      <c r="AT8"/>
      <c r="AU8"/>
      <c r="AV8"/>
    </row>
    <row r="9" spans="1:54" s="32" customFormat="1" ht="133" customHeight="1">
      <c r="A9" s="119"/>
      <c r="B9" s="3"/>
      <c r="C9" s="31"/>
      <c r="D9" s="1461" t="s">
        <v>444</v>
      </c>
      <c r="E9" s="1462"/>
      <c r="F9" s="1462"/>
      <c r="G9" s="1462"/>
      <c r="H9" s="1462"/>
      <c r="I9" s="1462"/>
      <c r="J9" s="1462"/>
      <c r="K9" s="1462"/>
      <c r="L9" s="1462"/>
      <c r="M9" s="1462"/>
      <c r="N9" s="1462"/>
      <c r="O9" s="1462"/>
      <c r="P9" s="17"/>
      <c r="Q9" s="17"/>
      <c r="R9" s="17"/>
      <c r="S9" s="17"/>
      <c r="T9" s="17"/>
      <c r="U9" s="17"/>
      <c r="V9" s="17"/>
      <c r="W9"/>
      <c r="X9"/>
      <c r="Y9"/>
      <c r="Z9"/>
      <c r="AA9"/>
      <c r="AB9"/>
      <c r="AC9"/>
      <c r="AD9"/>
      <c r="AE9"/>
      <c r="AF9"/>
      <c r="AG9"/>
      <c r="AH9"/>
      <c r="AI9"/>
      <c r="AJ9"/>
      <c r="AK9"/>
      <c r="AL9"/>
      <c r="AM9"/>
      <c r="AN9"/>
      <c r="AO9"/>
      <c r="AP9"/>
      <c r="AQ9"/>
      <c r="AR9"/>
      <c r="AS9"/>
      <c r="AT9"/>
      <c r="AU9"/>
      <c r="AV9"/>
    </row>
    <row r="10" spans="1:54" s="32" customFormat="1">
      <c r="A10" s="119"/>
      <c r="B10" s="3"/>
      <c r="C10" s="31"/>
      <c r="D10" s="333" t="s">
        <v>442</v>
      </c>
      <c r="E10" s="317"/>
      <c r="F10" s="317"/>
      <c r="G10" s="317"/>
      <c r="H10" s="317"/>
      <c r="I10" s="317"/>
      <c r="J10" s="317"/>
      <c r="K10" s="317"/>
      <c r="L10" s="317"/>
      <c r="M10" s="317"/>
      <c r="N10" s="317"/>
      <c r="O10" s="317"/>
      <c r="P10" s="17"/>
      <c r="Q10" s="17"/>
      <c r="R10" s="17"/>
      <c r="S10" s="17"/>
      <c r="T10" s="17"/>
      <c r="U10" s="17"/>
      <c r="V10" s="17"/>
      <c r="W10"/>
      <c r="X10"/>
      <c r="Y10"/>
      <c r="Z10"/>
      <c r="AA10"/>
      <c r="AB10"/>
      <c r="AC10"/>
      <c r="AD10"/>
      <c r="AE10"/>
      <c r="AF10"/>
      <c r="AG10"/>
      <c r="AH10"/>
      <c r="AI10"/>
      <c r="AJ10"/>
      <c r="AK10"/>
      <c r="AL10"/>
      <c r="AM10"/>
      <c r="AN10"/>
      <c r="AO10"/>
      <c r="AP10"/>
      <c r="AQ10"/>
      <c r="AR10"/>
      <c r="AS10"/>
      <c r="AT10"/>
      <c r="AU10"/>
      <c r="AV10"/>
    </row>
    <row r="11" spans="1:54" s="32" customFormat="1" ht="16">
      <c r="A11" s="119"/>
      <c r="B11" s="3"/>
      <c r="C11" s="31"/>
      <c r="D11" s="335" t="s">
        <v>443</v>
      </c>
      <c r="E11" s="336"/>
      <c r="F11" s="336"/>
      <c r="G11" s="336"/>
      <c r="H11" s="336"/>
      <c r="I11" s="336"/>
      <c r="J11" s="336"/>
      <c r="K11" s="336"/>
      <c r="L11" s="336"/>
      <c r="M11" s="336"/>
      <c r="N11" s="336"/>
      <c r="O11" s="336"/>
      <c r="P11" s="17"/>
      <c r="Q11" s="17"/>
      <c r="R11" s="17"/>
      <c r="S11" s="17"/>
      <c r="T11" s="17"/>
      <c r="U11" s="17"/>
      <c r="V11" s="17"/>
      <c r="W11"/>
      <c r="X11"/>
      <c r="Y11"/>
      <c r="Z11"/>
      <c r="AA11"/>
      <c r="AB11"/>
      <c r="AC11"/>
      <c r="AD11"/>
      <c r="AE11"/>
      <c r="AF11"/>
      <c r="AG11"/>
      <c r="AH11"/>
      <c r="AI11"/>
      <c r="AJ11"/>
      <c r="AK11"/>
      <c r="AL11"/>
      <c r="AM11"/>
      <c r="AN11"/>
      <c r="AO11"/>
      <c r="AP11"/>
      <c r="AQ11"/>
      <c r="AR11"/>
      <c r="AS11"/>
      <c r="AT11"/>
      <c r="AU11"/>
      <c r="AV11"/>
    </row>
    <row r="12" spans="1:54" s="32" customFormat="1">
      <c r="A12" s="119"/>
      <c r="B12" s="3"/>
      <c r="C12" s="31"/>
      <c r="D12" s="17"/>
      <c r="E12" s="17"/>
      <c r="F12" s="17"/>
      <c r="G12" s="17"/>
      <c r="H12" s="17"/>
      <c r="I12" s="17"/>
      <c r="J12" s="17"/>
      <c r="K12" s="17"/>
      <c r="L12" s="17"/>
      <c r="M12" s="17"/>
      <c r="N12" s="17"/>
      <c r="O12" s="17"/>
      <c r="P12" s="17"/>
      <c r="Q12" s="17"/>
      <c r="R12" s="17"/>
      <c r="S12" s="17"/>
      <c r="T12" s="17"/>
      <c r="U12" s="17"/>
      <c r="V12" s="17"/>
      <c r="W12"/>
      <c r="X12"/>
      <c r="Y12"/>
      <c r="Z12"/>
      <c r="AA12"/>
      <c r="AB12"/>
      <c r="AC12"/>
      <c r="AD12"/>
      <c r="AE12"/>
      <c r="AF12"/>
      <c r="AG12"/>
      <c r="AH12"/>
      <c r="AI12"/>
      <c r="AJ12"/>
      <c r="AK12"/>
      <c r="AL12"/>
      <c r="AM12"/>
      <c r="AN12"/>
      <c r="AO12"/>
      <c r="AP12"/>
      <c r="AQ12"/>
      <c r="AR12"/>
      <c r="AS12"/>
      <c r="AT12"/>
      <c r="AU12"/>
      <c r="AV12"/>
    </row>
    <row r="13" spans="1:54" s="32" customFormat="1">
      <c r="A13" s="119"/>
      <c r="B13" s="3"/>
      <c r="C13" s="31"/>
      <c r="D13" s="17"/>
      <c r="E13" s="17"/>
      <c r="F13" s="17"/>
      <c r="G13" s="17"/>
      <c r="H13" s="17"/>
      <c r="I13" s="17"/>
      <c r="J13" s="17"/>
      <c r="K13" s="17"/>
      <c r="L13" s="17"/>
      <c r="M13" s="17"/>
      <c r="N13" s="17"/>
      <c r="O13" s="17"/>
      <c r="P13" s="17"/>
      <c r="Q13" s="17"/>
      <c r="R13" s="17"/>
      <c r="S13" s="17"/>
      <c r="T13" s="17"/>
      <c r="U13" s="17"/>
      <c r="V13" s="17"/>
      <c r="W13"/>
      <c r="X13"/>
      <c r="Y13"/>
      <c r="Z13"/>
      <c r="AA13"/>
      <c r="AB13"/>
      <c r="AC13"/>
      <c r="AD13"/>
      <c r="AE13"/>
      <c r="AF13"/>
      <c r="AG13"/>
      <c r="AH13"/>
      <c r="AI13"/>
      <c r="AJ13"/>
      <c r="AK13"/>
      <c r="AL13"/>
      <c r="AM13"/>
      <c r="AN13"/>
      <c r="AO13"/>
      <c r="AP13"/>
      <c r="AQ13"/>
      <c r="AR13"/>
      <c r="AS13"/>
      <c r="AT13"/>
      <c r="AU13"/>
      <c r="AV13"/>
    </row>
    <row r="14" spans="1:54" s="32" customFormat="1">
      <c r="A14" s="119"/>
      <c r="B14" s="3"/>
      <c r="C14" s="31"/>
      <c r="D14" s="17"/>
      <c r="E14" s="17"/>
      <c r="F14" s="17"/>
      <c r="G14" s="17"/>
      <c r="H14" s="17"/>
      <c r="I14" s="17"/>
      <c r="J14" s="17"/>
      <c r="K14" s="17"/>
      <c r="L14" s="17"/>
      <c r="M14" s="17"/>
      <c r="N14" s="17"/>
      <c r="O14" s="17"/>
      <c r="P14" s="17"/>
      <c r="Q14" s="17"/>
      <c r="R14" s="17"/>
      <c r="S14" s="17"/>
      <c r="T14" s="17"/>
      <c r="U14" s="17"/>
      <c r="V14" s="17"/>
      <c r="W14"/>
      <c r="X14"/>
      <c r="Y14"/>
      <c r="Z14"/>
      <c r="AA14"/>
      <c r="AB14"/>
      <c r="AC14"/>
      <c r="AD14"/>
      <c r="AE14"/>
      <c r="AF14"/>
      <c r="AG14"/>
      <c r="AH14"/>
      <c r="AI14"/>
      <c r="AJ14"/>
      <c r="AK14"/>
      <c r="AL14"/>
      <c r="AM14"/>
      <c r="AN14"/>
      <c r="AO14"/>
      <c r="AP14"/>
      <c r="AQ14"/>
      <c r="AR14"/>
      <c r="AS14"/>
      <c r="AT14"/>
      <c r="AU14"/>
      <c r="AV14"/>
    </row>
    <row r="15" spans="1:54" s="38" customFormat="1">
      <c r="A15" s="119"/>
      <c r="B15" s="14"/>
      <c r="C15" s="17"/>
      <c r="D15" s="306" t="s">
        <v>116</v>
      </c>
      <c r="E15" s="307"/>
      <c r="F15" s="308"/>
      <c r="G15" s="308"/>
      <c r="H15" s="17"/>
      <c r="I15" s="306" t="s">
        <v>115</v>
      </c>
      <c r="J15" s="309"/>
      <c r="K15" s="309"/>
      <c r="L15" s="308"/>
      <c r="M15" s="308"/>
      <c r="N15" s="308"/>
      <c r="P15" s="310" t="s">
        <v>124</v>
      </c>
      <c r="Q15" s="311"/>
      <c r="R15" s="1148"/>
      <c r="S15" s="1148"/>
      <c r="T15" s="1148"/>
      <c r="U15" s="1148"/>
      <c r="V15" s="1154"/>
      <c r="W15" s="119"/>
      <c r="X15" s="119"/>
      <c r="Y15"/>
      <c r="Z15"/>
      <c r="AA15"/>
      <c r="AB15"/>
      <c r="AC15"/>
      <c r="AD15"/>
      <c r="AE15"/>
      <c r="AF15"/>
      <c r="AG15"/>
      <c r="AH15"/>
      <c r="AI15"/>
      <c r="AJ15"/>
      <c r="AK15"/>
      <c r="AL15"/>
      <c r="AM15"/>
      <c r="AN15"/>
      <c r="AO15"/>
      <c r="AP15"/>
      <c r="AQ15"/>
      <c r="AR15"/>
      <c r="AS15"/>
      <c r="AT15"/>
      <c r="AU15"/>
      <c r="AV15"/>
      <c r="AW15" s="64"/>
      <c r="AX15" s="64"/>
      <c r="AY15" s="64"/>
      <c r="AZ15" s="64"/>
      <c r="BA15" s="64"/>
      <c r="BB15" s="64"/>
    </row>
    <row r="16" spans="1:54" s="38" customFormat="1">
      <c r="A16" s="119"/>
      <c r="B16" s="14"/>
      <c r="C16" s="17"/>
      <c r="D16" s="49"/>
      <c r="E16" s="40"/>
      <c r="F16" s="39"/>
      <c r="G16" s="39"/>
      <c r="H16" s="17"/>
      <c r="L16" s="37"/>
      <c r="M16" s="37"/>
      <c r="N16" s="37"/>
      <c r="P16" s="42"/>
      <c r="Q16" s="43"/>
      <c r="V16" s="41"/>
      <c r="W16"/>
      <c r="X16"/>
      <c r="Y16"/>
      <c r="Z16"/>
      <c r="AA16"/>
      <c r="AB16"/>
      <c r="AC16"/>
      <c r="AD16"/>
      <c r="AE16"/>
      <c r="AF16"/>
      <c r="AG16"/>
      <c r="AH16"/>
      <c r="AI16"/>
      <c r="AJ16"/>
      <c r="AK16"/>
      <c r="AL16"/>
      <c r="AM16"/>
      <c r="AN16"/>
      <c r="AO16"/>
      <c r="AP16"/>
      <c r="AQ16"/>
      <c r="AR16"/>
      <c r="AS16"/>
      <c r="AT16"/>
      <c r="AU16"/>
      <c r="AV16"/>
    </row>
    <row r="17" spans="1:48" s="38" customFormat="1">
      <c r="A17" s="119"/>
      <c r="B17" s="14"/>
      <c r="C17" s="17"/>
      <c r="D17" s="39"/>
      <c r="E17" s="40"/>
      <c r="F17" s="39"/>
      <c r="G17" s="39"/>
      <c r="H17" s="37"/>
      <c r="L17" s="37"/>
      <c r="M17" s="37"/>
      <c r="N17" s="37"/>
      <c r="P17" s="61"/>
      <c r="Q17" s="62"/>
      <c r="V17" s="41"/>
      <c r="W17"/>
      <c r="X17"/>
      <c r="Y17"/>
      <c r="Z17"/>
      <c r="AA17"/>
      <c r="AB17"/>
      <c r="AC17"/>
      <c r="AD17"/>
      <c r="AE17"/>
      <c r="AF17"/>
      <c r="AG17"/>
      <c r="AH17"/>
      <c r="AI17"/>
      <c r="AJ17"/>
      <c r="AK17"/>
      <c r="AL17"/>
      <c r="AM17"/>
      <c r="AN17"/>
      <c r="AO17"/>
      <c r="AP17"/>
      <c r="AQ17"/>
      <c r="AR17"/>
      <c r="AS17"/>
      <c r="AT17"/>
      <c r="AU17"/>
      <c r="AV17"/>
    </row>
    <row r="18" spans="1:48" s="38" customFormat="1" ht="27" customHeight="1">
      <c r="A18" s="119"/>
      <c r="B18" s="14"/>
      <c r="C18" s="17"/>
      <c r="D18" s="302"/>
      <c r="E18" s="303" t="s">
        <v>139</v>
      </c>
      <c r="F18" s="39"/>
      <c r="G18" s="39"/>
      <c r="H18" s="37"/>
      <c r="J18" s="63"/>
      <c r="K18" s="291" t="s">
        <v>141</v>
      </c>
      <c r="L18" s="292"/>
      <c r="M18" s="37"/>
      <c r="N18" s="37"/>
      <c r="P18" s="280" t="s">
        <v>120</v>
      </c>
      <c r="Q18" s="280" t="s">
        <v>121</v>
      </c>
      <c r="V18" s="41"/>
      <c r="AB18" s="37"/>
      <c r="AC18" s="37"/>
      <c r="AD18" s="37"/>
      <c r="AE18" s="37"/>
      <c r="AF18" s="37"/>
      <c r="AG18" s="37"/>
      <c r="AH18" s="37"/>
    </row>
    <row r="19" spans="1:48" s="38" customFormat="1" ht="28">
      <c r="A19" s="119"/>
      <c r="B19" s="14"/>
      <c r="C19" s="17"/>
      <c r="D19" s="302" t="s">
        <v>117</v>
      </c>
      <c r="E19" s="302"/>
      <c r="F19" s="39"/>
      <c r="G19" s="39"/>
      <c r="H19" s="37"/>
      <c r="J19" s="298" t="s">
        <v>195</v>
      </c>
      <c r="K19" s="293" t="s">
        <v>122</v>
      </c>
      <c r="L19" s="294" t="s">
        <v>123</v>
      </c>
      <c r="M19" s="37"/>
      <c r="N19" s="37"/>
      <c r="P19" s="1468" t="s">
        <v>128</v>
      </c>
      <c r="Q19" s="1469"/>
      <c r="V19" s="37"/>
      <c r="AB19" s="37"/>
      <c r="AC19" s="37"/>
      <c r="AD19" s="37"/>
      <c r="AE19" s="37"/>
      <c r="AF19" s="37"/>
      <c r="AG19" s="37"/>
      <c r="AH19" s="37"/>
    </row>
    <row r="20" spans="1:48" s="38" customFormat="1">
      <c r="A20" s="119"/>
      <c r="B20" s="14"/>
      <c r="C20" s="17"/>
      <c r="D20" s="302" t="s">
        <v>118</v>
      </c>
      <c r="E20" s="304"/>
      <c r="F20" s="39"/>
      <c r="G20" s="39"/>
      <c r="H20" s="37"/>
      <c r="J20" s="299">
        <v>1</v>
      </c>
      <c r="K20" s="295"/>
      <c r="L20" s="295"/>
      <c r="M20" s="37"/>
      <c r="N20" s="37"/>
      <c r="P20" s="1470"/>
      <c r="Q20" s="1471"/>
      <c r="V20" s="37"/>
      <c r="AB20" s="37"/>
      <c r="AC20" s="37"/>
      <c r="AD20" s="37"/>
      <c r="AE20" s="37"/>
      <c r="AF20" s="37"/>
      <c r="AG20" s="37"/>
      <c r="AH20" s="37"/>
    </row>
    <row r="21" spans="1:48" s="38" customFormat="1">
      <c r="A21" s="119"/>
      <c r="B21" s="14"/>
      <c r="C21" s="17"/>
      <c r="D21" s="305" t="s">
        <v>119</v>
      </c>
      <c r="E21" s="305"/>
      <c r="F21" s="37"/>
      <c r="G21" s="37"/>
      <c r="H21" s="37"/>
      <c r="J21" s="300">
        <v>2</v>
      </c>
      <c r="K21" s="295"/>
      <c r="L21" s="295"/>
      <c r="M21" s="37"/>
      <c r="N21" s="37"/>
      <c r="P21" s="283"/>
      <c r="Q21" s="284"/>
      <c r="V21" s="37"/>
      <c r="AB21" s="37"/>
      <c r="AC21" s="37"/>
      <c r="AD21" s="37"/>
      <c r="AE21" s="37"/>
      <c r="AF21" s="37"/>
      <c r="AG21" s="37"/>
      <c r="AH21" s="37"/>
    </row>
    <row r="22" spans="1:48" s="38" customFormat="1" ht="14">
      <c r="A22" s="119"/>
      <c r="B22" s="14"/>
      <c r="C22" s="17"/>
      <c r="D22" s="42"/>
      <c r="E22" s="42"/>
      <c r="F22" s="37"/>
      <c r="G22" s="37"/>
      <c r="H22" s="37"/>
      <c r="J22" s="300" t="s">
        <v>140</v>
      </c>
      <c r="K22" s="295"/>
      <c r="L22" s="295"/>
      <c r="M22" s="37"/>
      <c r="N22" s="37"/>
      <c r="P22" s="285"/>
      <c r="Q22" s="286"/>
      <c r="V22" s="37"/>
      <c r="AB22" s="37"/>
      <c r="AC22" s="37"/>
      <c r="AD22" s="37"/>
      <c r="AE22" s="37"/>
      <c r="AF22" s="37"/>
      <c r="AG22" s="37"/>
      <c r="AH22" s="37"/>
    </row>
    <row r="23" spans="1:48" s="38" customFormat="1">
      <c r="A23" s="119"/>
      <c r="B23" s="14"/>
      <c r="C23" s="17"/>
      <c r="D23" s="42"/>
      <c r="E23" s="42"/>
      <c r="F23" s="37"/>
      <c r="G23" s="37"/>
      <c r="H23" s="37"/>
      <c r="J23" s="300"/>
      <c r="K23" s="295"/>
      <c r="L23" s="295"/>
      <c r="M23" s="37"/>
      <c r="N23" s="37"/>
      <c r="P23" s="285"/>
      <c r="Q23" s="286"/>
      <c r="V23" s="37"/>
      <c r="AB23" s="37"/>
      <c r="AC23" s="37"/>
      <c r="AD23" s="37"/>
      <c r="AE23" s="37"/>
      <c r="AF23" s="37"/>
      <c r="AG23" s="37"/>
      <c r="AH23" s="37"/>
    </row>
    <row r="24" spans="1:48" s="38" customFormat="1">
      <c r="A24" s="119"/>
      <c r="B24" s="14"/>
      <c r="C24" s="34"/>
      <c r="D24" s="33"/>
      <c r="E24" s="33"/>
      <c r="F24" s="37"/>
      <c r="G24" s="37"/>
      <c r="H24" s="37"/>
      <c r="J24" s="300"/>
      <c r="K24" s="295"/>
      <c r="L24" s="295"/>
      <c r="M24" s="37"/>
      <c r="N24" s="37"/>
      <c r="P24" s="287"/>
      <c r="Q24" s="288"/>
      <c r="V24" s="37"/>
      <c r="AB24" s="37"/>
      <c r="AC24" s="37"/>
      <c r="AD24" s="37"/>
      <c r="AE24" s="37"/>
      <c r="AF24" s="37"/>
      <c r="AG24" s="37"/>
      <c r="AH24" s="37"/>
    </row>
    <row r="25" spans="1:48" s="38" customFormat="1">
      <c r="A25" s="119"/>
      <c r="B25" s="14"/>
      <c r="C25" s="17"/>
      <c r="D25" s="39"/>
      <c r="E25" s="39"/>
      <c r="F25" s="39"/>
      <c r="G25" s="39"/>
      <c r="H25" s="37"/>
      <c r="J25" s="300"/>
      <c r="K25" s="295"/>
      <c r="L25" s="295"/>
      <c r="M25" s="37"/>
      <c r="N25" s="37"/>
      <c r="P25" s="287"/>
      <c r="Q25" s="288"/>
      <c r="V25" s="37"/>
      <c r="AB25" s="37"/>
      <c r="AC25" s="37"/>
      <c r="AD25" s="37"/>
      <c r="AE25" s="37"/>
      <c r="AF25" s="37"/>
      <c r="AG25" s="37"/>
      <c r="AH25" s="37"/>
    </row>
    <row r="26" spans="1:48" s="38" customFormat="1">
      <c r="A26" s="119"/>
      <c r="B26" s="14"/>
      <c r="C26" s="17"/>
      <c r="D26" s="39"/>
      <c r="E26" s="40"/>
      <c r="F26" s="39"/>
      <c r="G26" s="39"/>
      <c r="H26" s="37"/>
      <c r="J26" s="301" t="s">
        <v>61</v>
      </c>
      <c r="K26" s="296"/>
      <c r="L26" s="297"/>
      <c r="M26" s="37"/>
      <c r="N26" s="37"/>
      <c r="P26" s="287"/>
      <c r="Q26" s="288"/>
      <c r="V26" s="41"/>
      <c r="AB26" s="37"/>
      <c r="AC26" s="37"/>
      <c r="AD26" s="37"/>
      <c r="AE26" s="37"/>
      <c r="AF26" s="37"/>
      <c r="AG26" s="37"/>
      <c r="AH26" s="37"/>
    </row>
    <row r="27" spans="1:48" s="38" customFormat="1">
      <c r="A27" s="119"/>
      <c r="B27" s="14"/>
      <c r="H27" s="37"/>
      <c r="K27" s="36"/>
      <c r="L27" s="37"/>
      <c r="P27" s="287"/>
      <c r="Q27" s="288"/>
      <c r="V27" s="41"/>
      <c r="AB27" s="37"/>
      <c r="AC27" s="37"/>
      <c r="AD27" s="37"/>
      <c r="AE27" s="37"/>
      <c r="AF27" s="37"/>
      <c r="AG27" s="37"/>
      <c r="AH27" s="37"/>
    </row>
    <row r="28" spans="1:48" s="38" customFormat="1">
      <c r="A28" s="119"/>
      <c r="B28" s="14"/>
      <c r="H28" s="37"/>
      <c r="K28" s="37"/>
      <c r="L28" s="37"/>
      <c r="P28" s="289"/>
      <c r="Q28" s="290"/>
      <c r="V28" s="41"/>
      <c r="AB28" s="37"/>
      <c r="AC28" s="37"/>
      <c r="AD28" s="37"/>
      <c r="AE28" s="37"/>
      <c r="AF28" s="37"/>
      <c r="AG28" s="37"/>
      <c r="AH28" s="37"/>
    </row>
    <row r="29" spans="1:48" s="38" customFormat="1">
      <c r="A29" s="119"/>
      <c r="B29" s="14"/>
      <c r="H29" s="37"/>
      <c r="K29" s="37"/>
      <c r="L29" s="37"/>
      <c r="Q29" s="37"/>
      <c r="R29" s="37"/>
      <c r="S29" s="37"/>
      <c r="T29" s="37"/>
      <c r="U29" s="41"/>
      <c r="V29" s="41"/>
      <c r="AB29" s="37"/>
      <c r="AC29" s="37"/>
      <c r="AD29" s="37"/>
      <c r="AE29" s="37"/>
      <c r="AF29" s="37"/>
      <c r="AG29" s="37"/>
      <c r="AH29" s="37"/>
      <c r="AI29" s="37"/>
      <c r="AJ29" s="37"/>
    </row>
    <row r="30" spans="1:48" s="38" customFormat="1">
      <c r="A30" s="119"/>
      <c r="B30" s="14"/>
      <c r="H30" s="37"/>
      <c r="K30" s="37"/>
      <c r="L30" s="37"/>
      <c r="Q30" s="37"/>
      <c r="R30" s="37"/>
      <c r="S30" s="37"/>
      <c r="T30" s="37"/>
      <c r="U30" s="41"/>
      <c r="V30" s="41"/>
      <c r="AB30" s="37"/>
      <c r="AC30" s="37"/>
      <c r="AD30" s="37"/>
      <c r="AE30" s="37"/>
      <c r="AF30" s="37"/>
      <c r="AG30" s="37"/>
      <c r="AH30" s="37"/>
      <c r="AI30" s="37"/>
      <c r="AJ30" s="37"/>
    </row>
    <row r="31" spans="1:48" s="38" customFormat="1" ht="14" customHeight="1">
      <c r="A31" s="119"/>
      <c r="B31" s="14"/>
      <c r="H31" s="37"/>
      <c r="K31" s="37"/>
      <c r="L31" s="37"/>
      <c r="Q31" s="37"/>
      <c r="R31" s="37"/>
      <c r="S31" s="37"/>
      <c r="T31" s="37"/>
      <c r="U31" s="37"/>
      <c r="V31" s="37"/>
    </row>
    <row r="32" spans="1:48" s="38" customFormat="1">
      <c r="A32" s="119"/>
      <c r="B32" s="14"/>
      <c r="H32" s="37"/>
      <c r="K32" s="37"/>
      <c r="L32" s="37"/>
      <c r="Q32" s="37"/>
      <c r="R32" s="37"/>
      <c r="S32" s="37"/>
      <c r="T32" s="37"/>
      <c r="U32" s="37"/>
      <c r="V32" s="37"/>
      <c r="W32" s="37"/>
      <c r="X32" s="37"/>
    </row>
    <row r="33" spans="1:24" s="38" customFormat="1">
      <c r="A33" s="119"/>
      <c r="B33" s="14"/>
      <c r="D33" s="306" t="s">
        <v>135</v>
      </c>
      <c r="E33" s="308"/>
      <c r="F33" s="1147"/>
      <c r="G33" s="1148"/>
      <c r="H33" s="37"/>
      <c r="I33" s="1149" t="s">
        <v>185</v>
      </c>
      <c r="J33" s="1148"/>
      <c r="K33" s="1148"/>
      <c r="L33" s="309"/>
      <c r="M33" s="309"/>
      <c r="N33" s="309"/>
      <c r="P33" s="1149" t="s">
        <v>125</v>
      </c>
      <c r="Q33" s="1150"/>
      <c r="R33" s="1147"/>
      <c r="S33" s="1147"/>
      <c r="T33" s="1147"/>
      <c r="U33" s="1147"/>
      <c r="V33" s="1147"/>
      <c r="W33" s="37"/>
      <c r="X33" s="37"/>
    </row>
    <row r="34" spans="1:24" s="38" customFormat="1">
      <c r="A34" s="119"/>
      <c r="B34" s="14"/>
      <c r="D34" s="37"/>
      <c r="E34" s="37"/>
      <c r="H34" s="37"/>
      <c r="M34" s="17"/>
      <c r="N34" s="17"/>
      <c r="R34" s="37"/>
      <c r="S34" s="37"/>
      <c r="T34" s="17"/>
      <c r="U34" s="32"/>
      <c r="V34" s="32"/>
      <c r="W34" s="32"/>
      <c r="X34" s="32"/>
    </row>
    <row r="35" spans="1:24" s="38" customFormat="1">
      <c r="A35" s="119"/>
      <c r="B35" s="14"/>
      <c r="D35" s="37"/>
      <c r="E35" s="37"/>
      <c r="H35" s="37"/>
      <c r="M35" s="17"/>
      <c r="N35" s="17"/>
      <c r="R35" s="37"/>
      <c r="S35" s="37"/>
      <c r="T35" s="17"/>
      <c r="U35" s="32"/>
      <c r="V35" s="32"/>
      <c r="W35" s="32"/>
      <c r="X35" s="32"/>
    </row>
    <row r="36" spans="1:24" s="38" customFormat="1">
      <c r="A36" s="119"/>
      <c r="B36" s="14"/>
      <c r="E36" s="291" t="s">
        <v>142</v>
      </c>
      <c r="F36" s="312"/>
      <c r="H36" s="37"/>
      <c r="K36" s="291" t="s">
        <v>143</v>
      </c>
      <c r="L36" s="312"/>
      <c r="M36" s="17"/>
      <c r="N36" s="17"/>
      <c r="P36" s="280" t="s">
        <v>120</v>
      </c>
      <c r="Q36" s="280" t="s">
        <v>121</v>
      </c>
      <c r="R36" s="37"/>
      <c r="S36" s="37"/>
      <c r="T36" s="17"/>
      <c r="U36" s="32"/>
      <c r="V36" s="32"/>
      <c r="W36" s="32"/>
      <c r="X36" s="32"/>
    </row>
    <row r="37" spans="1:24" s="38" customFormat="1" ht="28.5" customHeight="1">
      <c r="A37" s="119"/>
      <c r="B37" s="14"/>
      <c r="D37" s="298" t="s">
        <v>195</v>
      </c>
      <c r="E37" s="313" t="s">
        <v>47</v>
      </c>
      <c r="F37" s="313" t="s">
        <v>27</v>
      </c>
      <c r="H37" s="37"/>
      <c r="J37" s="298" t="s">
        <v>195</v>
      </c>
      <c r="K37" s="313" t="s">
        <v>47</v>
      </c>
      <c r="L37" s="313" t="s">
        <v>27</v>
      </c>
      <c r="M37" s="17"/>
      <c r="N37" s="17"/>
      <c r="P37" s="1466" t="s">
        <v>144</v>
      </c>
      <c r="Q37" s="1467"/>
      <c r="R37" s="37"/>
      <c r="S37" s="37"/>
      <c r="T37" s="17"/>
      <c r="U37" s="32"/>
      <c r="V37" s="32"/>
      <c r="W37" s="32"/>
    </row>
    <row r="38" spans="1:24" s="38" customFormat="1">
      <c r="A38" s="119"/>
      <c r="B38" s="14"/>
      <c r="D38" s="299">
        <v>1</v>
      </c>
      <c r="E38" s="299"/>
      <c r="F38" s="314"/>
      <c r="H38" s="37"/>
      <c r="J38" s="299">
        <v>1</v>
      </c>
      <c r="K38" s="299"/>
      <c r="L38" s="314"/>
      <c r="M38" s="17"/>
      <c r="N38" s="17"/>
      <c r="P38" s="281"/>
      <c r="Q38" s="282"/>
      <c r="R38" s="37"/>
      <c r="S38" s="37"/>
      <c r="T38" s="41"/>
    </row>
    <row r="39" spans="1:24" s="38" customFormat="1">
      <c r="A39" s="119"/>
      <c r="B39" s="14"/>
      <c r="C39" s="17"/>
      <c r="D39" s="300">
        <v>2</v>
      </c>
      <c r="E39" s="299"/>
      <c r="F39" s="314"/>
      <c r="J39" s="300">
        <v>2</v>
      </c>
      <c r="K39" s="299"/>
      <c r="L39" s="314"/>
      <c r="M39" s="17"/>
      <c r="N39" s="17"/>
      <c r="P39" s="283"/>
      <c r="Q39" s="284"/>
      <c r="R39" s="37"/>
      <c r="S39" s="37"/>
      <c r="T39" s="41"/>
    </row>
    <row r="40" spans="1:24" s="38" customFormat="1" ht="14">
      <c r="A40" s="119"/>
      <c r="B40" s="14"/>
      <c r="C40" s="17"/>
      <c r="D40" s="300" t="s">
        <v>140</v>
      </c>
      <c r="E40" s="299"/>
      <c r="F40" s="314"/>
      <c r="J40" s="300" t="s">
        <v>140</v>
      </c>
      <c r="K40" s="299"/>
      <c r="L40" s="314"/>
      <c r="M40" s="17"/>
      <c r="N40" s="17"/>
      <c r="P40" s="285"/>
      <c r="Q40" s="286"/>
      <c r="R40" s="37"/>
      <c r="S40" s="37"/>
      <c r="T40" s="41"/>
    </row>
    <row r="41" spans="1:24" s="38" customFormat="1">
      <c r="A41" s="119"/>
      <c r="B41" s="14"/>
      <c r="C41" s="17"/>
      <c r="D41" s="300"/>
      <c r="E41" s="299"/>
      <c r="F41" s="314"/>
      <c r="J41" s="300"/>
      <c r="K41" s="299"/>
      <c r="L41" s="314"/>
      <c r="M41" s="17"/>
      <c r="N41" s="17"/>
      <c r="P41" s="285"/>
      <c r="Q41" s="286"/>
      <c r="R41" s="37"/>
      <c r="S41" s="37"/>
      <c r="T41" s="41"/>
    </row>
    <row r="42" spans="1:24" s="38" customFormat="1">
      <c r="A42" s="119"/>
      <c r="B42" s="6"/>
      <c r="C42" s="17"/>
      <c r="D42" s="300"/>
      <c r="E42" s="299"/>
      <c r="F42" s="314"/>
      <c r="J42" s="300"/>
      <c r="K42" s="299"/>
      <c r="L42" s="314"/>
      <c r="M42" s="17"/>
      <c r="N42" s="17"/>
      <c r="P42" s="287"/>
      <c r="Q42" s="288"/>
      <c r="R42" s="37"/>
      <c r="S42" s="37"/>
      <c r="T42" s="37"/>
    </row>
    <row r="43" spans="1:24" s="38" customFormat="1">
      <c r="A43" s="119"/>
      <c r="B43" s="23"/>
      <c r="C43" s="35"/>
      <c r="D43" s="300"/>
      <c r="E43" s="299"/>
      <c r="F43" s="314"/>
      <c r="J43" s="300"/>
      <c r="K43" s="299"/>
      <c r="L43" s="314"/>
      <c r="M43" s="17"/>
      <c r="N43" s="17"/>
      <c r="P43" s="287"/>
      <c r="Q43" s="288"/>
      <c r="R43" s="37"/>
      <c r="S43" s="37"/>
      <c r="T43" s="37"/>
    </row>
    <row r="44" spans="1:24">
      <c r="D44" s="301" t="s">
        <v>61</v>
      </c>
      <c r="E44" s="315"/>
      <c r="F44" s="316"/>
      <c r="I44" s="4"/>
      <c r="J44" s="301" t="s">
        <v>61</v>
      </c>
      <c r="K44" s="315"/>
      <c r="L44" s="316"/>
      <c r="O44" s="4"/>
      <c r="P44" s="287"/>
      <c r="Q44" s="288"/>
      <c r="T44" s="37"/>
    </row>
    <row r="45" spans="1:24">
      <c r="D45" s="4"/>
      <c r="E45" s="4"/>
      <c r="F45" s="4"/>
      <c r="I45" s="4"/>
      <c r="J45" s="4"/>
      <c r="M45" s="4"/>
      <c r="N45" s="4"/>
      <c r="O45" s="4"/>
      <c r="P45" s="287"/>
      <c r="Q45" s="288"/>
      <c r="T45" s="37"/>
    </row>
    <row r="46" spans="1:24">
      <c r="D46" s="4"/>
      <c r="E46" s="4"/>
      <c r="F46" s="4"/>
      <c r="I46" s="4"/>
      <c r="J46" s="4"/>
      <c r="M46" s="4"/>
      <c r="N46" s="4"/>
      <c r="O46" s="4"/>
      <c r="P46" s="4"/>
      <c r="Q46" s="4"/>
      <c r="T46" s="37"/>
    </row>
    <row r="47" spans="1:24">
      <c r="D47" s="4"/>
      <c r="E47" s="4"/>
      <c r="F47" s="4"/>
      <c r="M47" s="4"/>
      <c r="N47" s="4"/>
      <c r="O47" s="4"/>
      <c r="P47" s="4"/>
      <c r="Q47" s="4"/>
      <c r="T47" s="41"/>
    </row>
    <row r="48" spans="1:24">
      <c r="D48" s="4"/>
      <c r="E48" s="4"/>
      <c r="F48" s="4"/>
      <c r="M48" s="4"/>
      <c r="N48" s="4"/>
      <c r="O48" s="4"/>
      <c r="P48" s="4"/>
      <c r="Q48" s="4"/>
      <c r="T48" s="37"/>
    </row>
    <row r="49" spans="3:29">
      <c r="D49" s="306" t="s">
        <v>126</v>
      </c>
      <c r="E49" s="318"/>
      <c r="F49" s="1151"/>
      <c r="G49" s="1150"/>
      <c r="I49" s="1152" t="s">
        <v>332</v>
      </c>
      <c r="J49" s="1150"/>
      <c r="K49" s="1153"/>
      <c r="L49" s="1153"/>
      <c r="M49" s="321"/>
      <c r="N49" s="321"/>
      <c r="O49" s="321"/>
      <c r="P49" s="321"/>
      <c r="Q49" s="321"/>
      <c r="R49" s="1148"/>
      <c r="S49" s="1148"/>
      <c r="T49" s="1148"/>
      <c r="W49" s="4"/>
      <c r="X49" s="4"/>
    </row>
    <row r="50" spans="3:29">
      <c r="D50" s="38"/>
      <c r="E50" s="38"/>
      <c r="F50" s="38"/>
      <c r="J50" s="53"/>
      <c r="K50" s="53"/>
      <c r="L50" s="53"/>
      <c r="M50" s="53"/>
      <c r="N50" s="53"/>
      <c r="O50" s="53"/>
      <c r="P50" s="53"/>
      <c r="Q50" s="53"/>
      <c r="R50" s="38"/>
      <c r="S50" s="38"/>
      <c r="T50" s="38"/>
      <c r="W50" s="4"/>
      <c r="X50" s="4"/>
    </row>
    <row r="51" spans="3:29">
      <c r="D51" s="38"/>
      <c r="E51" s="38"/>
      <c r="F51" s="38"/>
      <c r="J51" s="53"/>
      <c r="K51" s="53"/>
      <c r="L51" s="53"/>
      <c r="M51" s="53"/>
      <c r="N51" s="53"/>
      <c r="O51" s="53"/>
      <c r="P51" s="53"/>
      <c r="Q51" s="53"/>
      <c r="R51" s="38"/>
      <c r="S51" s="38"/>
      <c r="T51" s="38"/>
      <c r="W51" s="4"/>
      <c r="X51" s="4"/>
    </row>
    <row r="52" spans="3:29" ht="28">
      <c r="D52" s="280" t="s">
        <v>145</v>
      </c>
      <c r="E52" s="280" t="s">
        <v>121</v>
      </c>
      <c r="F52" s="999"/>
      <c r="J52" s="258"/>
      <c r="K52" s="259" t="s">
        <v>98</v>
      </c>
      <c r="L52" s="260"/>
      <c r="M52" s="261" t="s">
        <v>183</v>
      </c>
      <c r="N52" s="260"/>
      <c r="O52" s="261" t="s">
        <v>99</v>
      </c>
      <c r="P52" s="260"/>
      <c r="Q52" s="261" t="s">
        <v>184</v>
      </c>
      <c r="R52" s="260"/>
      <c r="S52" s="261" t="s">
        <v>100</v>
      </c>
      <c r="T52" s="260"/>
      <c r="W52" s="4"/>
      <c r="X52" s="4"/>
    </row>
    <row r="53" spans="3:29">
      <c r="C53" s="32"/>
      <c r="D53" s="1466" t="s">
        <v>144</v>
      </c>
      <c r="E53" s="1467"/>
      <c r="F53" s="1000"/>
      <c r="G53" s="32"/>
      <c r="H53" s="32"/>
      <c r="I53" s="32"/>
      <c r="J53" s="262" t="s">
        <v>163</v>
      </c>
      <c r="K53" s="263" t="s">
        <v>47</v>
      </c>
      <c r="L53" s="263" t="s">
        <v>27</v>
      </c>
      <c r="M53" s="263" t="s">
        <v>47</v>
      </c>
      <c r="N53" s="263" t="s">
        <v>27</v>
      </c>
      <c r="O53" s="263" t="s">
        <v>47</v>
      </c>
      <c r="P53" s="263" t="s">
        <v>27</v>
      </c>
      <c r="Q53" s="263" t="s">
        <v>47</v>
      </c>
      <c r="R53" s="263" t="s">
        <v>27</v>
      </c>
      <c r="S53" s="263" t="s">
        <v>47</v>
      </c>
      <c r="T53" s="263" t="s">
        <v>27</v>
      </c>
      <c r="U53" s="32"/>
      <c r="V53" s="32"/>
      <c r="W53" s="32"/>
      <c r="X53" s="32"/>
      <c r="Y53" s="32"/>
      <c r="Z53" s="32"/>
      <c r="AA53" s="32"/>
      <c r="AB53" s="32"/>
      <c r="AC53" s="32"/>
    </row>
    <row r="54" spans="3:29">
      <c r="C54" s="38"/>
      <c r="D54" s="281"/>
      <c r="E54" s="282"/>
      <c r="F54" s="999"/>
      <c r="G54" s="65"/>
      <c r="H54" s="65"/>
      <c r="I54" s="65"/>
      <c r="J54" s="304" t="s">
        <v>68</v>
      </c>
      <c r="K54" s="264"/>
      <c r="L54" s="264"/>
      <c r="M54" s="264"/>
      <c r="N54" s="264"/>
      <c r="O54" s="264"/>
      <c r="P54" s="264"/>
      <c r="Q54" s="264"/>
      <c r="R54" s="264"/>
      <c r="S54" s="264"/>
      <c r="T54" s="264"/>
      <c r="U54" s="4"/>
      <c r="V54" s="4"/>
      <c r="W54" s="4"/>
      <c r="X54" s="4"/>
      <c r="AC54" s="38"/>
    </row>
    <row r="55" spans="3:29">
      <c r="C55" s="38"/>
      <c r="D55" s="283"/>
      <c r="E55" s="284"/>
      <c r="F55" s="999"/>
      <c r="G55" s="38"/>
      <c r="H55" s="38"/>
      <c r="I55" s="38"/>
      <c r="J55" s="304" t="s">
        <v>308</v>
      </c>
      <c r="K55" s="264"/>
      <c r="L55" s="264"/>
      <c r="M55" s="264"/>
      <c r="N55" s="264"/>
      <c r="O55" s="264"/>
      <c r="P55" s="264"/>
      <c r="Q55" s="264"/>
      <c r="R55" s="264"/>
      <c r="S55" s="264"/>
      <c r="T55" s="264"/>
      <c r="U55" s="4"/>
      <c r="V55" s="4"/>
      <c r="W55" s="4"/>
      <c r="X55" s="4"/>
      <c r="AC55" s="38"/>
    </row>
    <row r="56" spans="3:29">
      <c r="C56" s="38"/>
      <c r="D56" s="285"/>
      <c r="E56" s="286"/>
      <c r="F56" s="311"/>
      <c r="G56" s="38"/>
      <c r="H56" s="38"/>
      <c r="I56" s="38"/>
      <c r="J56" s="304" t="s">
        <v>101</v>
      </c>
      <c r="K56" s="264"/>
      <c r="L56" s="264"/>
      <c r="M56" s="264"/>
      <c r="N56" s="264"/>
      <c r="O56" s="264"/>
      <c r="P56" s="264"/>
      <c r="Q56" s="264"/>
      <c r="R56" s="264"/>
      <c r="S56" s="264"/>
      <c r="T56" s="264"/>
      <c r="U56" s="4"/>
      <c r="V56" s="4"/>
      <c r="W56" s="4"/>
      <c r="X56" s="4"/>
      <c r="AC56" s="38"/>
    </row>
    <row r="57" spans="3:29" ht="14">
      <c r="C57" s="38"/>
      <c r="D57" s="285"/>
      <c r="E57" s="286"/>
      <c r="F57" s="311"/>
      <c r="G57" s="38"/>
      <c r="H57" s="38"/>
      <c r="I57" s="38"/>
      <c r="J57" s="265" t="s">
        <v>61</v>
      </c>
      <c r="K57" s="266"/>
      <c r="L57" s="266"/>
      <c r="M57" s="267"/>
      <c r="N57" s="267"/>
      <c r="O57" s="267"/>
      <c r="P57" s="267"/>
      <c r="Q57" s="267"/>
      <c r="R57" s="267"/>
      <c r="S57" s="267"/>
      <c r="T57" s="267"/>
      <c r="U57" s="4"/>
      <c r="V57" s="4"/>
      <c r="W57" s="4"/>
      <c r="X57" s="4"/>
      <c r="AC57" s="38"/>
    </row>
    <row r="58" spans="3:29">
      <c r="C58" s="38"/>
      <c r="D58" s="287"/>
      <c r="E58" s="288"/>
      <c r="F58" s="308"/>
      <c r="G58" s="38"/>
      <c r="H58" s="38"/>
      <c r="I58" s="38"/>
      <c r="J58" s="4"/>
      <c r="K58" s="4"/>
      <c r="L58" s="4"/>
      <c r="M58" s="4"/>
      <c r="N58" s="4"/>
      <c r="O58" s="4"/>
      <c r="P58" s="4"/>
      <c r="Q58" s="4"/>
      <c r="R58" s="4"/>
      <c r="S58" s="4"/>
      <c r="T58" s="4"/>
      <c r="U58" s="4"/>
      <c r="V58" s="4"/>
      <c r="W58" s="4"/>
      <c r="X58" s="4"/>
      <c r="AC58" s="38"/>
    </row>
    <row r="59" spans="3:29">
      <c r="C59" s="38"/>
      <c r="D59" s="287"/>
      <c r="E59" s="288"/>
      <c r="F59" s="308"/>
      <c r="G59" s="38"/>
      <c r="H59" s="38"/>
      <c r="I59" s="38"/>
      <c r="J59" s="4"/>
      <c r="K59" s="4"/>
      <c r="L59" s="4"/>
      <c r="M59" s="4"/>
      <c r="N59" s="4"/>
      <c r="O59" s="4"/>
      <c r="P59" s="4"/>
      <c r="Q59" s="4"/>
      <c r="R59" s="4"/>
      <c r="S59" s="4"/>
      <c r="T59" s="4"/>
      <c r="U59" s="4"/>
      <c r="V59" s="4"/>
      <c r="W59" s="4"/>
      <c r="X59" s="4"/>
      <c r="AC59" s="38"/>
    </row>
    <row r="60" spans="3:29">
      <c r="C60" s="38"/>
      <c r="D60" s="287"/>
      <c r="E60" s="288"/>
      <c r="F60" s="308"/>
      <c r="G60" s="38"/>
      <c r="H60" s="38"/>
      <c r="I60" s="38"/>
      <c r="J60" s="4"/>
      <c r="K60" s="4"/>
      <c r="L60" s="4"/>
      <c r="M60" s="4"/>
      <c r="N60" s="4"/>
      <c r="O60" s="4"/>
      <c r="P60" s="4"/>
      <c r="Q60" s="4"/>
      <c r="R60" s="4"/>
      <c r="S60" s="4"/>
      <c r="T60" s="4"/>
      <c r="U60" s="4"/>
      <c r="V60" s="4"/>
      <c r="W60" s="4"/>
      <c r="X60" s="4"/>
      <c r="AC60" s="38"/>
    </row>
    <row r="61" spans="3:29">
      <c r="C61" s="38"/>
      <c r="D61" s="287"/>
      <c r="E61" s="288"/>
      <c r="F61" s="308"/>
      <c r="G61" s="38"/>
      <c r="H61" s="38"/>
      <c r="I61" s="38"/>
      <c r="J61" s="38"/>
      <c r="K61" s="38"/>
      <c r="L61" s="4"/>
      <c r="M61" s="4"/>
      <c r="N61" s="4"/>
      <c r="O61" s="38"/>
      <c r="P61" s="38"/>
      <c r="Q61" s="38"/>
      <c r="R61" s="4"/>
      <c r="S61" s="4"/>
      <c r="T61" s="4"/>
      <c r="U61" s="4"/>
      <c r="V61" s="4"/>
      <c r="W61" s="4"/>
      <c r="X61" s="4"/>
      <c r="AC61" s="38"/>
    </row>
    <row r="62" spans="3:29">
      <c r="C62" s="38"/>
      <c r="D62" s="289"/>
      <c r="E62" s="290"/>
      <c r="F62" s="308"/>
      <c r="G62" s="38"/>
      <c r="H62" s="38"/>
      <c r="I62" s="38"/>
      <c r="J62" s="38"/>
      <c r="K62" s="38"/>
      <c r="L62" s="4"/>
      <c r="M62" s="4"/>
      <c r="N62" s="4"/>
      <c r="O62" s="38"/>
      <c r="P62" s="38"/>
      <c r="Q62" s="38"/>
      <c r="R62" s="4"/>
      <c r="S62" s="4"/>
      <c r="T62" s="4"/>
      <c r="U62" s="4"/>
      <c r="V62" s="4"/>
      <c r="W62" s="4"/>
      <c r="X62" s="4"/>
      <c r="AC62" s="38"/>
    </row>
    <row r="63" spans="3:29">
      <c r="C63" s="38"/>
      <c r="D63" s="38"/>
      <c r="E63" s="38"/>
      <c r="F63" s="38"/>
      <c r="G63" s="38"/>
      <c r="H63" s="38"/>
      <c r="I63" s="38"/>
      <c r="J63" s="38"/>
      <c r="K63" s="38"/>
      <c r="L63" s="4"/>
      <c r="M63" s="4"/>
      <c r="N63" s="4"/>
      <c r="O63" s="38"/>
      <c r="P63" s="38"/>
      <c r="Q63" s="38"/>
      <c r="R63" s="53"/>
      <c r="S63" s="53"/>
      <c r="T63" s="53"/>
      <c r="U63" s="53"/>
      <c r="V63" s="53"/>
      <c r="W63" s="53"/>
      <c r="X63" s="53"/>
      <c r="Y63" s="53"/>
      <c r="Z63" s="38"/>
      <c r="AA63" s="38"/>
      <c r="AB63" s="38"/>
      <c r="AC63" s="38"/>
    </row>
    <row r="64" spans="3:29" ht="23">
      <c r="C64" s="38"/>
      <c r="D64" s="858" t="s">
        <v>1006</v>
      </c>
      <c r="E64" s="68"/>
      <c r="F64" s="68"/>
      <c r="G64" s="38"/>
      <c r="H64" s="38"/>
      <c r="I64" s="38"/>
      <c r="J64" s="38"/>
      <c r="K64" s="38"/>
      <c r="L64" s="4"/>
      <c r="M64" s="4"/>
      <c r="N64" s="4"/>
      <c r="O64" s="38"/>
      <c r="P64" s="38"/>
      <c r="Q64" s="38"/>
      <c r="R64" s="53"/>
      <c r="S64" s="53"/>
      <c r="T64" s="53"/>
      <c r="U64" s="53"/>
      <c r="V64" s="53"/>
      <c r="W64" s="53"/>
      <c r="X64" s="53"/>
      <c r="Y64" s="53"/>
      <c r="Z64" s="38"/>
      <c r="AA64" s="38"/>
      <c r="AB64" s="38"/>
      <c r="AC64" s="38"/>
    </row>
    <row r="65" spans="1:29" ht="16">
      <c r="C65" s="38"/>
      <c r="D65" s="143"/>
      <c r="E65" s="68"/>
      <c r="F65" s="68"/>
      <c r="G65" s="38"/>
      <c r="H65" s="38"/>
      <c r="I65" s="38"/>
      <c r="J65" s="38"/>
      <c r="K65" s="38"/>
      <c r="L65" s="4"/>
      <c r="M65" s="4"/>
      <c r="N65" s="4"/>
      <c r="O65" s="38"/>
      <c r="P65" s="38"/>
      <c r="Q65" s="38"/>
      <c r="R65" s="53"/>
      <c r="S65" s="53"/>
      <c r="T65" s="53"/>
      <c r="U65" s="53"/>
      <c r="V65" s="53"/>
      <c r="W65" s="53"/>
      <c r="X65" s="53"/>
      <c r="Y65" s="53"/>
      <c r="Z65" s="38"/>
      <c r="AA65" s="38"/>
      <c r="AB65" s="38"/>
      <c r="AC65" s="38"/>
    </row>
    <row r="66" spans="1:29" ht="16">
      <c r="D66" s="1457" t="s">
        <v>179</v>
      </c>
      <c r="E66" s="1458"/>
      <c r="F66" s="1458"/>
    </row>
    <row r="67" spans="1:29" s="1177" customFormat="1" ht="16">
      <c r="A67" s="119"/>
      <c r="B67" s="25"/>
      <c r="C67" s="34"/>
      <c r="D67" s="143" t="s">
        <v>1005</v>
      </c>
      <c r="E67" s="68"/>
      <c r="F67" s="1211"/>
      <c r="G67" s="34"/>
      <c r="H67" s="34"/>
      <c r="I67" s="34"/>
      <c r="J67" s="34"/>
      <c r="K67" s="34"/>
      <c r="L67" s="34"/>
      <c r="M67" s="34"/>
      <c r="N67" s="34"/>
      <c r="O67" s="34"/>
      <c r="P67" s="34"/>
      <c r="Q67" s="34"/>
      <c r="R67" s="34"/>
      <c r="S67" s="34"/>
      <c r="T67" s="34"/>
      <c r="U67" s="34"/>
      <c r="V67" s="34"/>
      <c r="W67" s="34"/>
      <c r="X67" s="34"/>
    </row>
    <row r="68" spans="1:29" ht="16">
      <c r="D68" s="1210"/>
      <c r="E68" s="1211"/>
      <c r="F68" s="1211"/>
    </row>
    <row r="69" spans="1:29" ht="16">
      <c r="D69" s="4"/>
      <c r="E69" s="4"/>
      <c r="F69" s="68"/>
      <c r="I69" s="143" t="s">
        <v>70</v>
      </c>
      <c r="N69" s="143" t="s">
        <v>1004</v>
      </c>
    </row>
    <row r="71" spans="1:29" ht="16">
      <c r="D71" s="1212" t="s">
        <v>1003</v>
      </c>
      <c r="E71" s="1212" t="s">
        <v>1002</v>
      </c>
      <c r="F71" s="143"/>
      <c r="G71" s="143"/>
      <c r="I71" s="1212" t="s">
        <v>1003</v>
      </c>
      <c r="J71" s="1212" t="s">
        <v>1002</v>
      </c>
      <c r="K71" s="143"/>
      <c r="L71" s="143"/>
      <c r="N71" s="1212" t="s">
        <v>1003</v>
      </c>
      <c r="O71" s="1212" t="s">
        <v>1002</v>
      </c>
      <c r="P71" s="143"/>
      <c r="Q71" s="143"/>
      <c r="R71" s="143"/>
      <c r="S71" s="143"/>
      <c r="T71" s="143"/>
      <c r="U71" s="143"/>
    </row>
    <row r="72" spans="1:29" ht="16">
      <c r="D72" s="1212" t="s">
        <v>1001</v>
      </c>
      <c r="E72" s="143" t="s">
        <v>47</v>
      </c>
      <c r="F72" s="143" t="s">
        <v>27</v>
      </c>
      <c r="G72" s="143" t="s">
        <v>235</v>
      </c>
      <c r="I72" s="1212" t="s">
        <v>1001</v>
      </c>
      <c r="J72" s="143" t="s">
        <v>47</v>
      </c>
      <c r="K72" s="143" t="s">
        <v>27</v>
      </c>
      <c r="L72" s="143" t="s">
        <v>235</v>
      </c>
      <c r="N72" s="1212" t="s">
        <v>1001</v>
      </c>
      <c r="O72" s="143" t="s">
        <v>995</v>
      </c>
      <c r="P72" s="143" t="s">
        <v>996</v>
      </c>
      <c r="Q72" s="143" t="s">
        <v>997</v>
      </c>
      <c r="R72" s="143" t="s">
        <v>998</v>
      </c>
      <c r="S72" s="143" t="s">
        <v>999</v>
      </c>
      <c r="T72" s="143" t="s">
        <v>1000</v>
      </c>
      <c r="U72" s="143" t="s">
        <v>235</v>
      </c>
    </row>
    <row r="73" spans="1:29" ht="16">
      <c r="D73" s="1213" t="s">
        <v>995</v>
      </c>
      <c r="E73" s="1214">
        <v>5</v>
      </c>
      <c r="F73" s="1214">
        <v>24</v>
      </c>
      <c r="G73" s="1214">
        <v>29</v>
      </c>
      <c r="I73" s="1213" t="s">
        <v>995</v>
      </c>
      <c r="J73" s="556">
        <v>0.17241379310344829</v>
      </c>
      <c r="K73" s="556">
        <v>0.82758620689655171</v>
      </c>
      <c r="L73" s="556">
        <v>1</v>
      </c>
      <c r="N73" s="1213" t="s">
        <v>47</v>
      </c>
      <c r="O73" s="556">
        <v>0.17241379310344829</v>
      </c>
      <c r="P73" s="556">
        <v>0.34146341463414637</v>
      </c>
      <c r="Q73" s="556">
        <v>0.55263157894736847</v>
      </c>
      <c r="R73" s="556">
        <v>0.33027522935779818</v>
      </c>
      <c r="S73" s="556">
        <v>0.35555555555555557</v>
      </c>
      <c r="T73" s="556">
        <v>0.48275862068965519</v>
      </c>
      <c r="U73" s="556">
        <v>0.375</v>
      </c>
    </row>
    <row r="74" spans="1:29" ht="16">
      <c r="D74" s="1213" t="s">
        <v>996</v>
      </c>
      <c r="E74" s="1214">
        <v>14</v>
      </c>
      <c r="F74" s="1214">
        <v>27</v>
      </c>
      <c r="G74" s="1214">
        <v>41</v>
      </c>
      <c r="I74" s="1213" t="s">
        <v>996</v>
      </c>
      <c r="J74" s="556">
        <v>0.34146341463414637</v>
      </c>
      <c r="K74" s="556">
        <v>0.65853658536585369</v>
      </c>
      <c r="L74" s="556">
        <v>1</v>
      </c>
      <c r="N74" s="1213" t="s">
        <v>27</v>
      </c>
      <c r="O74" s="556">
        <v>0.82758620689655171</v>
      </c>
      <c r="P74" s="556">
        <v>0.65853658536585369</v>
      </c>
      <c r="Q74" s="556">
        <v>0.44736842105263158</v>
      </c>
      <c r="R74" s="556">
        <v>0.66972477064220182</v>
      </c>
      <c r="S74" s="556">
        <v>0.64444444444444449</v>
      </c>
      <c r="T74" s="556">
        <v>0.51724137931034486</v>
      </c>
      <c r="U74" s="556">
        <v>0.625</v>
      </c>
    </row>
    <row r="75" spans="1:29" ht="16">
      <c r="D75" s="1213" t="s">
        <v>997</v>
      </c>
      <c r="E75" s="1214">
        <v>21</v>
      </c>
      <c r="F75" s="1214">
        <v>17</v>
      </c>
      <c r="G75" s="1214">
        <v>38</v>
      </c>
      <c r="I75" s="1213" t="s">
        <v>997</v>
      </c>
      <c r="J75" s="556">
        <v>0.55263157894736847</v>
      </c>
      <c r="K75" s="556">
        <v>0.44736842105263158</v>
      </c>
      <c r="L75" s="556">
        <v>1</v>
      </c>
      <c r="N75" s="1213" t="s">
        <v>235</v>
      </c>
      <c r="O75" s="556">
        <v>1</v>
      </c>
      <c r="P75" s="556">
        <v>1</v>
      </c>
      <c r="Q75" s="556">
        <v>1</v>
      </c>
      <c r="R75" s="556">
        <v>1</v>
      </c>
      <c r="S75" s="556">
        <v>1</v>
      </c>
      <c r="T75" s="556">
        <v>1</v>
      </c>
      <c r="U75" s="556">
        <v>1</v>
      </c>
    </row>
    <row r="76" spans="1:29" ht="16">
      <c r="D76" s="1213" t="s">
        <v>998</v>
      </c>
      <c r="E76" s="1214">
        <v>36</v>
      </c>
      <c r="F76" s="1214">
        <v>73</v>
      </c>
      <c r="G76" s="1214">
        <v>109</v>
      </c>
      <c r="I76" s="1213" t="s">
        <v>998</v>
      </c>
      <c r="J76" s="556">
        <v>0.33027522935779818</v>
      </c>
      <c r="K76" s="556">
        <v>0.66972477064220182</v>
      </c>
      <c r="L76" s="556">
        <v>1</v>
      </c>
      <c r="N76"/>
      <c r="O76"/>
      <c r="P76"/>
      <c r="Q76"/>
    </row>
    <row r="77" spans="1:29" ht="16">
      <c r="D77" s="1213" t="s">
        <v>999</v>
      </c>
      <c r="E77" s="1214">
        <v>16</v>
      </c>
      <c r="F77" s="1214">
        <v>29</v>
      </c>
      <c r="G77" s="1214">
        <v>45</v>
      </c>
      <c r="I77" s="1213" t="s">
        <v>999</v>
      </c>
      <c r="J77" s="556">
        <v>0.35555555555555557</v>
      </c>
      <c r="K77" s="556">
        <v>0.64444444444444449</v>
      </c>
      <c r="L77" s="556">
        <v>1</v>
      </c>
      <c r="N77"/>
      <c r="O77"/>
      <c r="P77"/>
      <c r="Q77"/>
    </row>
    <row r="78" spans="1:29" ht="16">
      <c r="D78" s="1213" t="s">
        <v>1000</v>
      </c>
      <c r="E78" s="1214">
        <v>28</v>
      </c>
      <c r="F78" s="1214">
        <v>30</v>
      </c>
      <c r="G78" s="1214">
        <v>58</v>
      </c>
      <c r="I78" s="1213" t="s">
        <v>1000</v>
      </c>
      <c r="J78" s="556">
        <v>0.48275862068965519</v>
      </c>
      <c r="K78" s="556">
        <v>0.51724137931034486</v>
      </c>
      <c r="L78" s="556">
        <v>1</v>
      </c>
      <c r="N78"/>
      <c r="O78"/>
      <c r="P78"/>
      <c r="Q78"/>
    </row>
    <row r="79" spans="1:29" ht="16">
      <c r="D79" s="1213" t="s">
        <v>235</v>
      </c>
      <c r="E79" s="1214">
        <v>120</v>
      </c>
      <c r="F79" s="1214">
        <v>200</v>
      </c>
      <c r="G79" s="1214">
        <v>320</v>
      </c>
      <c r="I79" s="1213" t="s">
        <v>235</v>
      </c>
      <c r="J79" s="556">
        <v>0.375</v>
      </c>
      <c r="K79" s="556">
        <v>0.625</v>
      </c>
      <c r="L79" s="556">
        <v>1</v>
      </c>
      <c r="N79"/>
      <c r="O79"/>
      <c r="P79"/>
      <c r="Q79"/>
    </row>
    <row r="80" spans="1:29">
      <c r="D80"/>
      <c r="E80"/>
      <c r="F80"/>
      <c r="N80"/>
      <c r="O80"/>
    </row>
    <row r="81" spans="4:24">
      <c r="D81"/>
      <c r="E81"/>
      <c r="F81"/>
      <c r="N81"/>
      <c r="O81"/>
    </row>
    <row r="82" spans="4:24">
      <c r="D82"/>
      <c r="E82"/>
      <c r="F82"/>
      <c r="N82"/>
      <c r="O82"/>
    </row>
    <row r="83" spans="4:24">
      <c r="D83"/>
      <c r="E83"/>
      <c r="F83"/>
      <c r="N83"/>
      <c r="O83"/>
    </row>
    <row r="84" spans="4:24">
      <c r="D84"/>
      <c r="E84"/>
      <c r="F84"/>
      <c r="N84"/>
      <c r="O84"/>
    </row>
    <row r="85" spans="4:24">
      <c r="D85"/>
      <c r="E85"/>
      <c r="F85"/>
      <c r="N85"/>
      <c r="O85"/>
    </row>
    <row r="86" spans="4:24">
      <c r="D86"/>
      <c r="E86"/>
      <c r="F86"/>
      <c r="N86"/>
      <c r="O86"/>
    </row>
    <row r="87" spans="4:24">
      <c r="D87"/>
      <c r="E87"/>
      <c r="F87"/>
      <c r="N87"/>
      <c r="O87"/>
    </row>
    <row r="88" spans="4:24">
      <c r="D88"/>
      <c r="E88"/>
      <c r="F88"/>
      <c r="N88"/>
      <c r="O88"/>
    </row>
    <row r="89" spans="4:24">
      <c r="N89"/>
      <c r="O89"/>
    </row>
    <row r="90" spans="4:24">
      <c r="D90" s="4"/>
      <c r="E90" s="4"/>
      <c r="F90" s="4"/>
      <c r="G90" s="4"/>
      <c r="H90" s="4"/>
      <c r="I90" s="4"/>
      <c r="J90" s="4"/>
      <c r="K90" s="4"/>
      <c r="L90" s="4"/>
      <c r="M90" s="4"/>
      <c r="N90"/>
      <c r="O90"/>
      <c r="P90" s="4"/>
      <c r="Q90" s="4"/>
      <c r="R90" s="4"/>
      <c r="S90" s="4"/>
      <c r="T90" s="4"/>
      <c r="U90" s="4"/>
      <c r="V90" s="4"/>
      <c r="W90" s="4"/>
      <c r="X90" s="4"/>
    </row>
    <row r="91" spans="4:24">
      <c r="D91" s="4"/>
      <c r="E91" s="4"/>
      <c r="F91" s="4"/>
      <c r="G91" s="4"/>
      <c r="H91" s="4"/>
      <c r="I91" s="4"/>
      <c r="J91" s="4"/>
      <c r="K91" s="4"/>
      <c r="L91" s="4"/>
      <c r="M91" s="4"/>
      <c r="N91" s="4"/>
      <c r="O91" s="4"/>
      <c r="P91" s="4"/>
      <c r="Q91" s="4"/>
      <c r="R91" s="4"/>
      <c r="S91" s="4"/>
      <c r="T91" s="4"/>
      <c r="U91" s="4"/>
      <c r="V91" s="4"/>
      <c r="W91" s="4"/>
      <c r="X91" s="4"/>
    </row>
    <row r="98" spans="4:30" ht="63" customHeight="1">
      <c r="D98" s="1407" t="s">
        <v>472</v>
      </c>
      <c r="E98" s="1408"/>
      <c r="F98" s="1409"/>
      <c r="G98" s="1463" t="s">
        <v>477</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5"/>
    </row>
    <row r="99" spans="4:30" ht="69" customHeight="1">
      <c r="D99" s="1407" t="s">
        <v>473</v>
      </c>
      <c r="E99" s="1408"/>
      <c r="F99" s="1409"/>
      <c r="G99" s="1463" t="s">
        <v>478</v>
      </c>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5"/>
    </row>
  </sheetData>
  <mergeCells count="13">
    <mergeCell ref="R1:S1"/>
    <mergeCell ref="E1:F1"/>
    <mergeCell ref="D99:F99"/>
    <mergeCell ref="D98:F98"/>
    <mergeCell ref="D66:F66"/>
    <mergeCell ref="R3:S3"/>
    <mergeCell ref="R6:S6"/>
    <mergeCell ref="D9:O9"/>
    <mergeCell ref="G98:AD98"/>
    <mergeCell ref="G99:AD99"/>
    <mergeCell ref="P37:Q37"/>
    <mergeCell ref="D53:E53"/>
    <mergeCell ref="P19:Q20"/>
  </mergeCells>
  <hyperlinks>
    <hyperlink ref="R3" location="'Bilan EGALIZ'!A1" display="BILAN EGALIZ" xr:uid="{2BDE5038-CD25-DB4B-A72C-3139FDD9B0FE}"/>
    <hyperlink ref="R6" location="'Sommaire Outil'!A1" display="retour sommaire" xr:uid="{F594BB3D-A2E8-BE4A-975C-ED47666CAA9A}"/>
    <hyperlink ref="R1" location="'Bilan EGALIZ'!A1" display="BILAN EGALIZ" xr:uid="{7FE11C36-4CDF-9C4E-A950-BE01EFA05AA8}"/>
    <hyperlink ref="R1:S1" location="DIAGNOSTIC!A1" display="BILAN EGALIZ" xr:uid="{506703B2-2073-1F4D-A85E-720B8414A596}"/>
    <hyperlink ref="E1" location="'Bilan EGALIZ'!A1" display="BILAN EGALIZ" xr:uid="{3BDADBD6-9DDA-304B-BB15-4CF9FC75684F}"/>
    <hyperlink ref="E1:F1" location="SOMMAIRE!A1" display="SOMMAIRE" xr:uid="{0A8400D8-1DA6-6743-9677-70676A0A8019}"/>
  </hyperlinks>
  <pageMargins left="0.78740157499999996" right="0.78740157499999996" top="0.984251969" bottom="0.984251969" header="0.5" footer="0.5"/>
  <pageSetup paperSize="9" orientation="landscape" horizontalDpi="4294967292" verticalDpi="4294967292"/>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tabColor theme="0"/>
  </sheetPr>
  <dimension ref="A1:X45"/>
  <sheetViews>
    <sheetView showGridLines="0" zoomScaleNormal="100" workbookViewId="0">
      <selection activeCell="E1" sqref="E1:F1"/>
    </sheetView>
  </sheetViews>
  <sheetFormatPr baseColWidth="10" defaultRowHeight="13"/>
  <cols>
    <col min="1" max="1" width="10.83203125" style="119"/>
    <col min="2" max="2" width="10.83203125" style="51"/>
    <col min="3" max="21" width="12" customWidth="1"/>
  </cols>
  <sheetData>
    <row r="1" spans="3:24" s="125" customFormat="1" ht="62" customHeight="1">
      <c r="E1" s="1295" t="s">
        <v>980</v>
      </c>
      <c r="F1" s="1295"/>
      <c r="G1" s="1295"/>
      <c r="H1" s="1295"/>
      <c r="S1" s="1286" t="s">
        <v>382</v>
      </c>
      <c r="T1" s="1286"/>
    </row>
    <row r="2" spans="3:24">
      <c r="R2" s="14"/>
    </row>
    <row r="3" spans="3:24">
      <c r="L3" s="75"/>
    </row>
    <row r="5" spans="3:24">
      <c r="R5" s="383"/>
    </row>
    <row r="6" spans="3:24" ht="41" customHeight="1">
      <c r="C6" s="1490" t="s">
        <v>511</v>
      </c>
      <c r="D6" s="1491"/>
      <c r="E6" s="1491"/>
      <c r="F6" s="1491"/>
      <c r="G6" s="1491"/>
      <c r="H6" s="1491"/>
      <c r="I6" s="1491"/>
      <c r="J6" s="1491"/>
      <c r="K6" s="1491"/>
      <c r="L6" s="1491"/>
      <c r="M6" s="1491"/>
      <c r="N6" s="1491"/>
      <c r="O6" s="1491"/>
      <c r="P6" s="1491"/>
      <c r="Q6" s="1491"/>
      <c r="R6" s="1491"/>
      <c r="S6" s="1491"/>
      <c r="T6" s="1491"/>
      <c r="U6" s="1491"/>
      <c r="V6" s="1491"/>
      <c r="W6" s="1491"/>
      <c r="X6" s="1491"/>
    </row>
    <row r="7" spans="3:24" ht="20" customHeight="1">
      <c r="C7" s="397" t="s">
        <v>989</v>
      </c>
    </row>
    <row r="8" spans="3:24" ht="20" customHeight="1">
      <c r="C8" s="397"/>
    </row>
    <row r="9" spans="3:24" ht="20" customHeight="1">
      <c r="C9" s="398" t="s">
        <v>988</v>
      </c>
    </row>
    <row r="11" spans="3:24" ht="12.75" customHeight="1">
      <c r="C11" s="1481" t="s">
        <v>516</v>
      </c>
      <c r="D11" s="1482"/>
      <c r="E11" s="1482"/>
      <c r="F11" s="1482"/>
      <c r="G11" s="1482"/>
      <c r="H11" s="1482"/>
      <c r="I11" s="1482"/>
      <c r="J11" s="1482"/>
      <c r="K11" s="1482"/>
      <c r="L11" s="1482"/>
      <c r="M11" s="1482"/>
      <c r="N11" s="1482"/>
      <c r="O11" s="1482"/>
      <c r="P11" s="1482"/>
      <c r="Q11" s="1482"/>
      <c r="R11" s="1482"/>
      <c r="S11" s="1482"/>
      <c r="T11" s="1482"/>
      <c r="U11" s="1483"/>
      <c r="V11" s="1001"/>
      <c r="W11" s="1001"/>
      <c r="X11" s="1001"/>
    </row>
    <row r="12" spans="3:24" ht="12.75" customHeight="1">
      <c r="C12" s="1484"/>
      <c r="D12" s="1485"/>
      <c r="E12" s="1485"/>
      <c r="F12" s="1485"/>
      <c r="G12" s="1485"/>
      <c r="H12" s="1485"/>
      <c r="I12" s="1485"/>
      <c r="J12" s="1485"/>
      <c r="K12" s="1485"/>
      <c r="L12" s="1485"/>
      <c r="M12" s="1485"/>
      <c r="N12" s="1485"/>
      <c r="O12" s="1485"/>
      <c r="P12" s="1485"/>
      <c r="Q12" s="1485"/>
      <c r="R12" s="1485"/>
      <c r="S12" s="1485"/>
      <c r="T12" s="1485"/>
      <c r="U12" s="1486"/>
      <c r="V12" s="1001"/>
      <c r="W12" s="1001"/>
      <c r="X12" s="1001"/>
    </row>
    <row r="13" spans="3:24" ht="12.75" customHeight="1">
      <c r="C13" s="1484"/>
      <c r="D13" s="1485"/>
      <c r="E13" s="1485"/>
      <c r="F13" s="1485"/>
      <c r="G13" s="1485"/>
      <c r="H13" s="1485"/>
      <c r="I13" s="1485"/>
      <c r="J13" s="1485"/>
      <c r="K13" s="1485"/>
      <c r="L13" s="1485"/>
      <c r="M13" s="1485"/>
      <c r="N13" s="1485"/>
      <c r="O13" s="1485"/>
      <c r="P13" s="1485"/>
      <c r="Q13" s="1485"/>
      <c r="R13" s="1485"/>
      <c r="S13" s="1485"/>
      <c r="T13" s="1485"/>
      <c r="U13" s="1486"/>
      <c r="V13" s="1001"/>
      <c r="W13" s="1001"/>
      <c r="X13" s="1001"/>
    </row>
    <row r="14" spans="3:24" ht="12.75" customHeight="1">
      <c r="C14" s="1484"/>
      <c r="D14" s="1485"/>
      <c r="E14" s="1485"/>
      <c r="F14" s="1485"/>
      <c r="G14" s="1485"/>
      <c r="H14" s="1485"/>
      <c r="I14" s="1485"/>
      <c r="J14" s="1485"/>
      <c r="K14" s="1485"/>
      <c r="L14" s="1485"/>
      <c r="M14" s="1485"/>
      <c r="N14" s="1485"/>
      <c r="O14" s="1485"/>
      <c r="P14" s="1485"/>
      <c r="Q14" s="1485"/>
      <c r="R14" s="1485"/>
      <c r="S14" s="1485"/>
      <c r="T14" s="1485"/>
      <c r="U14" s="1486"/>
      <c r="V14" s="1001"/>
      <c r="W14" s="1001"/>
      <c r="X14" s="1001"/>
    </row>
    <row r="15" spans="3:24" ht="18" customHeight="1">
      <c r="C15" s="1487"/>
      <c r="D15" s="1488"/>
      <c r="E15" s="1488"/>
      <c r="F15" s="1488"/>
      <c r="G15" s="1488"/>
      <c r="H15" s="1488"/>
      <c r="I15" s="1488"/>
      <c r="J15" s="1488"/>
      <c r="K15" s="1488"/>
      <c r="L15" s="1488"/>
      <c r="M15" s="1488"/>
      <c r="N15" s="1488"/>
      <c r="O15" s="1488"/>
      <c r="P15" s="1488"/>
      <c r="Q15" s="1488"/>
      <c r="R15" s="1488"/>
      <c r="S15" s="1488"/>
      <c r="T15" s="1488"/>
      <c r="U15" s="1489"/>
      <c r="V15" s="1001"/>
      <c r="W15" s="1001"/>
      <c r="X15" s="1001"/>
    </row>
    <row r="17" spans="3:21" ht="15">
      <c r="C17" s="384" t="s">
        <v>512</v>
      </c>
      <c r="D17" s="385"/>
      <c r="E17" s="385"/>
      <c r="F17" s="385"/>
      <c r="G17" s="385"/>
      <c r="H17" s="385"/>
      <c r="I17" s="385"/>
      <c r="J17" s="385"/>
      <c r="K17" s="385"/>
      <c r="L17" s="386"/>
      <c r="N17" s="390" t="s">
        <v>513</v>
      </c>
      <c r="O17" s="385"/>
      <c r="P17" s="385"/>
      <c r="Q17" s="385"/>
      <c r="R17" s="385"/>
      <c r="S17" s="385"/>
      <c r="T17" s="385"/>
      <c r="U17" s="386"/>
    </row>
    <row r="18" spans="3:21">
      <c r="C18" s="387"/>
      <c r="D18" s="388"/>
      <c r="E18" s="388"/>
      <c r="F18" s="388"/>
      <c r="G18" s="388"/>
      <c r="H18" s="388"/>
      <c r="I18" s="388"/>
      <c r="J18" s="388"/>
      <c r="K18" s="388"/>
      <c r="L18" s="389"/>
      <c r="N18" s="387"/>
      <c r="O18" s="388"/>
      <c r="P18" s="388"/>
      <c r="Q18" s="388"/>
      <c r="R18" s="388"/>
      <c r="S18" s="388"/>
      <c r="T18" s="388"/>
      <c r="U18" s="389"/>
    </row>
    <row r="19" spans="3:21">
      <c r="C19" s="1472" t="s">
        <v>527</v>
      </c>
      <c r="D19" s="1473"/>
      <c r="E19" s="1473"/>
      <c r="F19" s="1473"/>
      <c r="G19" s="1473"/>
      <c r="H19" s="1473"/>
      <c r="I19" s="1473"/>
      <c r="J19" s="1473"/>
      <c r="K19" s="1473"/>
      <c r="L19" s="1474"/>
      <c r="N19" s="1472" t="s">
        <v>518</v>
      </c>
      <c r="O19" s="1473"/>
      <c r="P19" s="1473"/>
      <c r="Q19" s="1473"/>
      <c r="R19" s="1473"/>
      <c r="S19" s="1473"/>
      <c r="T19" s="1473"/>
      <c r="U19" s="1474"/>
    </row>
    <row r="20" spans="3:21">
      <c r="C20" s="1475"/>
      <c r="D20" s="1476"/>
      <c r="E20" s="1476"/>
      <c r="F20" s="1476"/>
      <c r="G20" s="1476"/>
      <c r="H20" s="1476"/>
      <c r="I20" s="1476"/>
      <c r="J20" s="1476"/>
      <c r="K20" s="1476"/>
      <c r="L20" s="1477"/>
      <c r="N20" s="1475"/>
      <c r="O20" s="1476"/>
      <c r="P20" s="1476"/>
      <c r="Q20" s="1476"/>
      <c r="R20" s="1476"/>
      <c r="S20" s="1476"/>
      <c r="T20" s="1476"/>
      <c r="U20" s="1477"/>
    </row>
    <row r="21" spans="3:21" ht="35" customHeight="1">
      <c r="C21" s="1478"/>
      <c r="D21" s="1479"/>
      <c r="E21" s="1479"/>
      <c r="F21" s="1479"/>
      <c r="G21" s="1479"/>
      <c r="H21" s="1479"/>
      <c r="I21" s="1479"/>
      <c r="J21" s="1479"/>
      <c r="K21" s="1479"/>
      <c r="L21" s="1480"/>
      <c r="N21" s="1478"/>
      <c r="O21" s="1479"/>
      <c r="P21" s="1479"/>
      <c r="Q21" s="1479"/>
      <c r="R21" s="1479"/>
      <c r="S21" s="1479"/>
      <c r="T21" s="1479"/>
      <c r="U21" s="1480"/>
    </row>
    <row r="22" spans="3:21">
      <c r="C22" s="1472" t="s">
        <v>519</v>
      </c>
      <c r="D22" s="1473"/>
      <c r="E22" s="1473"/>
      <c r="F22" s="1473"/>
      <c r="G22" s="1473"/>
      <c r="H22" s="1473"/>
      <c r="I22" s="1473"/>
      <c r="J22" s="1473"/>
      <c r="K22" s="1473"/>
      <c r="L22" s="1474"/>
      <c r="N22" s="1472" t="s">
        <v>515</v>
      </c>
      <c r="O22" s="1473"/>
      <c r="P22" s="1473"/>
      <c r="Q22" s="1473"/>
      <c r="R22" s="1473"/>
      <c r="S22" s="1473"/>
      <c r="T22" s="1473"/>
      <c r="U22" s="1474"/>
    </row>
    <row r="23" spans="3:21">
      <c r="C23" s="1475"/>
      <c r="D23" s="1476"/>
      <c r="E23" s="1476"/>
      <c r="F23" s="1476"/>
      <c r="G23" s="1476"/>
      <c r="H23" s="1476"/>
      <c r="I23" s="1476"/>
      <c r="J23" s="1476"/>
      <c r="K23" s="1476"/>
      <c r="L23" s="1477"/>
      <c r="N23" s="1475"/>
      <c r="O23" s="1476"/>
      <c r="P23" s="1476"/>
      <c r="Q23" s="1476"/>
      <c r="R23" s="1476"/>
      <c r="S23" s="1476"/>
      <c r="T23" s="1476"/>
      <c r="U23" s="1477"/>
    </row>
    <row r="24" spans="3:21" ht="25" customHeight="1">
      <c r="C24" s="1478"/>
      <c r="D24" s="1479"/>
      <c r="E24" s="1479"/>
      <c r="F24" s="1479"/>
      <c r="G24" s="1479"/>
      <c r="H24" s="1479"/>
      <c r="I24" s="1479"/>
      <c r="J24" s="1479"/>
      <c r="K24" s="1479"/>
      <c r="L24" s="1480"/>
      <c r="N24" s="1478"/>
      <c r="O24" s="1479"/>
      <c r="P24" s="1479"/>
      <c r="Q24" s="1479"/>
      <c r="R24" s="1479"/>
      <c r="S24" s="1479"/>
      <c r="T24" s="1479"/>
      <c r="U24" s="1480"/>
    </row>
    <row r="27" spans="3:21" ht="15">
      <c r="C27" s="390" t="s">
        <v>217</v>
      </c>
      <c r="D27" s="385"/>
      <c r="E27" s="385"/>
      <c r="F27" s="385"/>
      <c r="G27" s="385"/>
      <c r="H27" s="385"/>
      <c r="I27" s="385"/>
      <c r="J27" s="385"/>
      <c r="K27" s="385"/>
      <c r="L27" s="386"/>
      <c r="N27" s="390" t="s">
        <v>179</v>
      </c>
      <c r="O27" s="391"/>
      <c r="P27" s="391"/>
      <c r="Q27" s="391"/>
      <c r="R27" s="391"/>
      <c r="S27" s="391"/>
      <c r="T27" s="391"/>
      <c r="U27" s="392"/>
    </row>
    <row r="28" spans="3:21">
      <c r="C28" s="387"/>
      <c r="D28" s="388"/>
      <c r="E28" s="388"/>
      <c r="F28" s="388"/>
      <c r="G28" s="388"/>
      <c r="H28" s="388"/>
      <c r="I28" s="388"/>
      <c r="J28" s="388"/>
      <c r="K28" s="388"/>
      <c r="L28" s="389"/>
      <c r="N28" s="393"/>
      <c r="O28" s="394"/>
      <c r="P28" s="394"/>
      <c r="Q28" s="394"/>
      <c r="R28" s="394"/>
      <c r="S28" s="394"/>
      <c r="T28" s="394"/>
      <c r="U28" s="395"/>
    </row>
    <row r="29" spans="3:21">
      <c r="C29" s="1472" t="s">
        <v>514</v>
      </c>
      <c r="D29" s="1473"/>
      <c r="E29" s="1473"/>
      <c r="F29" s="1473"/>
      <c r="G29" s="1473"/>
      <c r="H29" s="1473"/>
      <c r="I29" s="1473"/>
      <c r="J29" s="1473"/>
      <c r="K29" s="1473"/>
      <c r="L29" s="1474"/>
      <c r="N29" s="1472" t="s">
        <v>529</v>
      </c>
      <c r="O29" s="1473"/>
      <c r="P29" s="1473"/>
      <c r="Q29" s="1473"/>
      <c r="R29" s="1473"/>
      <c r="S29" s="1473"/>
      <c r="T29" s="1473"/>
      <c r="U29" s="1474"/>
    </row>
    <row r="30" spans="3:21">
      <c r="C30" s="1475"/>
      <c r="D30" s="1476"/>
      <c r="E30" s="1476"/>
      <c r="F30" s="1476"/>
      <c r="G30" s="1476"/>
      <c r="H30" s="1476"/>
      <c r="I30" s="1476"/>
      <c r="J30" s="1476"/>
      <c r="K30" s="1476"/>
      <c r="L30" s="1477"/>
      <c r="N30" s="1475"/>
      <c r="O30" s="1476"/>
      <c r="P30" s="1476"/>
      <c r="Q30" s="1476"/>
      <c r="R30" s="1476"/>
      <c r="S30" s="1476"/>
      <c r="T30" s="1476"/>
      <c r="U30" s="1477"/>
    </row>
    <row r="31" spans="3:21" ht="33" customHeight="1">
      <c r="C31" s="1478"/>
      <c r="D31" s="1479"/>
      <c r="E31" s="1479"/>
      <c r="F31" s="1479"/>
      <c r="G31" s="1479"/>
      <c r="H31" s="1479"/>
      <c r="I31" s="1479"/>
      <c r="J31" s="1479"/>
      <c r="K31" s="1479"/>
      <c r="L31" s="1480"/>
      <c r="N31" s="1478"/>
      <c r="O31" s="1479"/>
      <c r="P31" s="1479"/>
      <c r="Q31" s="1479"/>
      <c r="R31" s="1479"/>
      <c r="S31" s="1479"/>
      <c r="T31" s="1479"/>
      <c r="U31" s="1480"/>
    </row>
    <row r="32" spans="3:21">
      <c r="C32" s="1472" t="s">
        <v>528</v>
      </c>
      <c r="D32" s="1473"/>
      <c r="E32" s="1473"/>
      <c r="F32" s="1473"/>
      <c r="G32" s="1473"/>
      <c r="H32" s="1473"/>
      <c r="I32" s="1473"/>
      <c r="J32" s="1473"/>
      <c r="K32" s="1473"/>
      <c r="L32" s="1474"/>
      <c r="N32" s="1472" t="s">
        <v>517</v>
      </c>
      <c r="O32" s="1473"/>
      <c r="P32" s="1473"/>
      <c r="Q32" s="1473"/>
      <c r="R32" s="1473"/>
      <c r="S32" s="1473"/>
      <c r="T32" s="1473"/>
      <c r="U32" s="1474"/>
    </row>
    <row r="33" spans="3:21">
      <c r="C33" s="1475"/>
      <c r="D33" s="1476"/>
      <c r="E33" s="1476"/>
      <c r="F33" s="1476"/>
      <c r="G33" s="1476"/>
      <c r="H33" s="1476"/>
      <c r="I33" s="1476"/>
      <c r="J33" s="1476"/>
      <c r="K33" s="1476"/>
      <c r="L33" s="1477"/>
      <c r="N33" s="1475"/>
      <c r="O33" s="1476"/>
      <c r="P33" s="1476"/>
      <c r="Q33" s="1476"/>
      <c r="R33" s="1476"/>
      <c r="S33" s="1476"/>
      <c r="T33" s="1476"/>
      <c r="U33" s="1477"/>
    </row>
    <row r="34" spans="3:21" ht="44" customHeight="1">
      <c r="C34" s="1478"/>
      <c r="D34" s="1479"/>
      <c r="E34" s="1479"/>
      <c r="F34" s="1479"/>
      <c r="G34" s="1479"/>
      <c r="H34" s="1479"/>
      <c r="I34" s="1479"/>
      <c r="J34" s="1479"/>
      <c r="K34" s="1479"/>
      <c r="L34" s="1480"/>
      <c r="N34" s="1478"/>
      <c r="O34" s="1479"/>
      <c r="P34" s="1479"/>
      <c r="Q34" s="1479"/>
      <c r="R34" s="1479"/>
      <c r="S34" s="1479"/>
      <c r="T34" s="1479"/>
      <c r="U34" s="1480"/>
    </row>
    <row r="37" spans="3:21" ht="15">
      <c r="C37" s="1492" t="s">
        <v>526</v>
      </c>
      <c r="D37" s="1493"/>
      <c r="E37" s="1493"/>
      <c r="F37" s="1493"/>
      <c r="G37" s="1493"/>
      <c r="H37" s="1493"/>
      <c r="I37" s="1493"/>
      <c r="J37" s="1493"/>
      <c r="K37" s="1493"/>
      <c r="L37" s="1494"/>
      <c r="M37" s="1142"/>
      <c r="N37" s="1143"/>
      <c r="O37" s="1143"/>
      <c r="P37" s="1143"/>
      <c r="Q37" s="1143"/>
      <c r="R37" s="396"/>
      <c r="S37" s="396"/>
      <c r="T37" s="396"/>
      <c r="U37" s="396"/>
    </row>
    <row r="38" spans="3:21" ht="15">
      <c r="C38" s="1492" t="s">
        <v>521</v>
      </c>
      <c r="D38" s="1493"/>
      <c r="E38" s="1493"/>
      <c r="F38" s="1493"/>
      <c r="G38" s="1493"/>
      <c r="H38" s="1493"/>
      <c r="I38" s="1493"/>
      <c r="J38" s="1493"/>
      <c r="K38" s="1493"/>
      <c r="L38" s="1494"/>
      <c r="M38" s="1142"/>
      <c r="N38" s="396"/>
      <c r="O38" s="1143"/>
      <c r="P38" s="396"/>
      <c r="Q38" s="396"/>
      <c r="R38" s="396"/>
      <c r="S38" s="396"/>
      <c r="T38" s="396"/>
      <c r="U38" s="396"/>
    </row>
    <row r="39" spans="3:21" ht="15">
      <c r="C39" s="1492" t="s">
        <v>520</v>
      </c>
      <c r="D39" s="1493"/>
      <c r="E39" s="1493"/>
      <c r="F39" s="1493"/>
      <c r="G39" s="1493"/>
      <c r="H39" s="1493"/>
      <c r="I39" s="1493"/>
      <c r="J39" s="1493"/>
      <c r="K39" s="1493"/>
      <c r="L39" s="1494"/>
      <c r="M39" s="1142"/>
      <c r="N39" s="396"/>
      <c r="O39" s="396"/>
      <c r="P39" s="396"/>
      <c r="Q39" s="396"/>
      <c r="R39" s="396"/>
      <c r="S39" s="396"/>
      <c r="T39" s="396"/>
      <c r="U39" s="396"/>
    </row>
    <row r="40" spans="3:21" ht="15">
      <c r="C40" s="1492" t="s">
        <v>522</v>
      </c>
      <c r="D40" s="1493"/>
      <c r="E40" s="1493"/>
      <c r="F40" s="1493"/>
      <c r="G40" s="1493"/>
      <c r="H40" s="1493"/>
      <c r="I40" s="1493"/>
      <c r="J40" s="1493"/>
      <c r="K40" s="1493"/>
      <c r="L40" s="1494"/>
      <c r="M40" s="1142"/>
      <c r="N40" s="396"/>
      <c r="O40" s="396"/>
      <c r="P40" s="396"/>
      <c r="Q40" s="396"/>
      <c r="R40" s="396"/>
      <c r="S40" s="396"/>
      <c r="T40" s="396"/>
      <c r="U40" s="396"/>
    </row>
    <row r="41" spans="3:21" ht="15">
      <c r="C41" s="1492" t="s">
        <v>523</v>
      </c>
      <c r="D41" s="1493"/>
      <c r="E41" s="1493"/>
      <c r="F41" s="1493"/>
      <c r="G41" s="1493"/>
      <c r="H41" s="1493"/>
      <c r="I41" s="1493"/>
      <c r="J41" s="1493"/>
      <c r="K41" s="1493"/>
      <c r="L41" s="1494"/>
      <c r="M41" s="1142"/>
      <c r="N41" s="396"/>
      <c r="O41" s="396"/>
      <c r="P41" s="396"/>
      <c r="Q41" s="396"/>
      <c r="R41" s="396"/>
      <c r="S41" s="396"/>
      <c r="T41" s="396"/>
      <c r="U41" s="396"/>
    </row>
    <row r="42" spans="3:21" ht="15">
      <c r="C42" s="1492" t="s">
        <v>524</v>
      </c>
      <c r="D42" s="1493"/>
      <c r="E42" s="1493"/>
      <c r="F42" s="1493"/>
      <c r="G42" s="1493"/>
      <c r="H42" s="1493"/>
      <c r="I42" s="1493"/>
      <c r="J42" s="1493"/>
      <c r="K42" s="1493"/>
      <c r="L42" s="1494"/>
      <c r="M42" s="1142"/>
      <c r="N42" s="396"/>
      <c r="O42" s="396"/>
      <c r="P42" s="396"/>
      <c r="Q42" s="396"/>
      <c r="R42" s="396"/>
      <c r="S42" s="396"/>
      <c r="T42" s="396"/>
      <c r="U42" s="396"/>
    </row>
    <row r="43" spans="3:21" ht="15">
      <c r="C43" s="1492" t="s">
        <v>525</v>
      </c>
      <c r="D43" s="1493"/>
      <c r="E43" s="1493"/>
      <c r="F43" s="1493"/>
      <c r="G43" s="1493"/>
      <c r="H43" s="1493"/>
      <c r="I43" s="1493"/>
      <c r="J43" s="1493"/>
      <c r="K43" s="1493"/>
      <c r="L43" s="1494"/>
      <c r="M43" s="1142"/>
      <c r="N43" s="396"/>
      <c r="O43" s="396"/>
      <c r="P43" s="396"/>
      <c r="Q43" s="396"/>
      <c r="R43" s="396"/>
      <c r="S43" s="396"/>
      <c r="T43" s="396"/>
      <c r="U43" s="396"/>
    </row>
    <row r="44" spans="3:21">
      <c r="C44" s="396"/>
      <c r="D44" s="396"/>
      <c r="E44" s="396"/>
      <c r="F44" s="396"/>
      <c r="G44" s="396"/>
      <c r="H44" s="396"/>
      <c r="I44" s="396"/>
      <c r="J44" s="396"/>
      <c r="K44" s="396"/>
      <c r="L44" s="396"/>
      <c r="M44" s="396"/>
      <c r="N44" s="396"/>
      <c r="O44" s="396"/>
      <c r="P44" s="396"/>
      <c r="Q44" s="396"/>
      <c r="R44" s="396"/>
      <c r="S44" s="396"/>
      <c r="T44" s="396"/>
      <c r="U44" s="396"/>
    </row>
    <row r="45" spans="3:21">
      <c r="N45" s="4"/>
      <c r="O45" s="4"/>
      <c r="P45" s="4"/>
      <c r="Q45" s="4"/>
      <c r="R45" s="4"/>
    </row>
  </sheetData>
  <mergeCells count="20">
    <mergeCell ref="C43:L43"/>
    <mergeCell ref="C37:L37"/>
    <mergeCell ref="C38:L38"/>
    <mergeCell ref="C39:L39"/>
    <mergeCell ref="C41:L41"/>
    <mergeCell ref="C40:L40"/>
    <mergeCell ref="C42:L42"/>
    <mergeCell ref="N19:U21"/>
    <mergeCell ref="N22:U24"/>
    <mergeCell ref="G1:H1"/>
    <mergeCell ref="N29:U31"/>
    <mergeCell ref="N32:U34"/>
    <mergeCell ref="S1:T1"/>
    <mergeCell ref="C11:U15"/>
    <mergeCell ref="C6:X6"/>
    <mergeCell ref="C19:L21"/>
    <mergeCell ref="C22:L24"/>
    <mergeCell ref="C29:L31"/>
    <mergeCell ref="C32:L34"/>
    <mergeCell ref="E1:F1"/>
  </mergeCells>
  <hyperlinks>
    <hyperlink ref="S1" location="'Bilan EGALIZ'!A1" display="BILAN EGALIZ" xr:uid="{00000000-0004-0000-0600-000001000000}"/>
    <hyperlink ref="E1" location="'Sommaire Outil'!A1" display="retour sommaire" xr:uid="{2D3B66CB-8DFD-DE41-9424-7E970C86D21A}"/>
    <hyperlink ref="E1:F1" location="SOMMAIRE!A1" display="SOMMAIRE" xr:uid="{A088E885-9214-DE46-9032-783DBB32DE0B}"/>
    <hyperlink ref="S1:T1" location="DIAGNOSTIC!A1" display="BILAN EGALIZ" xr:uid="{FAF2403D-128C-1647-A7EA-A3F44B245F03}"/>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2"/>
  <dimension ref="A1:T82"/>
  <sheetViews>
    <sheetView showGridLines="0" zoomScale="127" zoomScaleNormal="127" workbookViewId="0">
      <selection activeCell="G1" sqref="G1:H1"/>
    </sheetView>
  </sheetViews>
  <sheetFormatPr baseColWidth="10" defaultRowHeight="13"/>
  <cols>
    <col min="1" max="1" width="9.6640625" style="119" customWidth="1"/>
    <col min="2" max="2" width="8.6640625" customWidth="1"/>
    <col min="3" max="3" width="13.5" style="366" customWidth="1"/>
    <col min="4" max="4" width="1.83203125" style="366" customWidth="1"/>
    <col min="5" max="5" width="20.1640625" style="366" customWidth="1"/>
    <col min="6" max="6" width="4.5" style="4" customWidth="1"/>
    <col min="7" max="7" width="27.33203125" customWidth="1"/>
    <col min="8" max="8" width="5.1640625" style="4" customWidth="1"/>
    <col min="9" max="9" width="31.1640625" customWidth="1"/>
    <col min="10" max="10" width="4.5" style="4" customWidth="1"/>
    <col min="11" max="11" width="38.33203125" customWidth="1"/>
    <col min="12" max="12" width="4.5" style="4" customWidth="1"/>
    <col min="13" max="13" width="74.6640625" style="1206" customWidth="1"/>
    <col min="14" max="14" width="4.5" style="4" customWidth="1"/>
    <col min="15" max="15" width="117.1640625" customWidth="1"/>
  </cols>
  <sheetData>
    <row r="1" spans="1:18" s="119" customFormat="1" ht="63" customHeight="1">
      <c r="A1" s="118"/>
      <c r="F1" s="1178"/>
      <c r="G1" s="1295" t="s">
        <v>980</v>
      </c>
      <c r="H1" s="1295"/>
      <c r="J1" s="1178"/>
      <c r="L1" s="1178"/>
      <c r="M1" s="1205"/>
      <c r="N1" s="1178"/>
    </row>
    <row r="2" spans="1:18" s="51" customFormat="1" ht="21" customHeight="1">
      <c r="A2" s="118"/>
      <c r="B2" s="1177"/>
      <c r="C2" s="1177"/>
      <c r="D2" s="1177"/>
      <c r="E2" s="1177"/>
      <c r="F2" s="1177"/>
      <c r="G2" s="1177"/>
      <c r="H2" s="1177"/>
      <c r="I2" s="1177"/>
      <c r="J2" s="1177"/>
      <c r="K2" s="1177"/>
      <c r="L2" s="1177"/>
      <c r="M2" s="1231"/>
      <c r="N2" s="1177"/>
      <c r="O2" s="1177"/>
      <c r="P2" s="1177"/>
    </row>
    <row r="3" spans="1:18" s="51" customFormat="1" ht="21" customHeight="1">
      <c r="A3" s="118"/>
      <c r="B3" s="1177"/>
      <c r="C3" s="1232" t="s">
        <v>990</v>
      </c>
      <c r="D3" s="1177"/>
      <c r="E3" s="1177"/>
      <c r="F3" s="1177"/>
      <c r="G3" s="1177"/>
      <c r="H3" s="1177"/>
      <c r="I3" s="1177"/>
      <c r="J3" s="1177"/>
      <c r="K3" s="1177"/>
      <c r="L3" s="1177"/>
      <c r="M3" s="1231"/>
      <c r="N3" s="1177"/>
      <c r="O3" s="1177"/>
      <c r="P3" s="1177"/>
    </row>
    <row r="4" spans="1:18">
      <c r="B4" s="4"/>
      <c r="C4" s="1233"/>
      <c r="D4" s="1233"/>
      <c r="E4" s="1233"/>
      <c r="G4" s="4"/>
      <c r="I4" s="4"/>
      <c r="K4" s="4"/>
      <c r="M4" s="1234"/>
      <c r="O4" s="4"/>
      <c r="P4" s="4"/>
    </row>
    <row r="5" spans="1:18" s="368" customFormat="1" ht="18">
      <c r="A5" s="367"/>
      <c r="B5" s="1229"/>
      <c r="C5" s="1235"/>
      <c r="D5" s="1235"/>
      <c r="E5" s="1236"/>
      <c r="F5" s="1229"/>
      <c r="G5" s="1237" t="s">
        <v>475</v>
      </c>
      <c r="H5" s="1229"/>
      <c r="I5" s="1237" t="s">
        <v>476</v>
      </c>
      <c r="J5" s="1229"/>
      <c r="K5" s="1237" t="s">
        <v>1007</v>
      </c>
      <c r="L5" s="1229"/>
      <c r="M5" s="1238" t="s">
        <v>530</v>
      </c>
      <c r="N5" s="1229"/>
      <c r="O5" s="1237" t="s">
        <v>978</v>
      </c>
      <c r="P5" s="1229"/>
    </row>
    <row r="6" spans="1:18" s="368" customFormat="1" ht="19" customHeight="1">
      <c r="A6" s="367"/>
      <c r="B6" s="1229"/>
      <c r="C6" s="1495" t="s">
        <v>216</v>
      </c>
      <c r="D6" s="1495"/>
      <c r="E6" s="1495"/>
      <c r="F6" s="1230"/>
      <c r="H6" s="1230"/>
      <c r="J6" s="1230"/>
      <c r="K6" s="1230"/>
      <c r="L6" s="1230"/>
      <c r="N6" s="1230"/>
      <c r="O6" s="1230"/>
      <c r="P6" s="1229"/>
    </row>
    <row r="7" spans="1:18" s="1180" customFormat="1" ht="18">
      <c r="A7" s="367"/>
      <c r="B7" s="1230"/>
      <c r="C7" s="1240"/>
      <c r="D7" s="1241"/>
      <c r="E7" s="1242"/>
      <c r="F7" s="1230"/>
      <c r="G7" s="1230"/>
      <c r="H7" s="1230"/>
      <c r="I7" s="1230"/>
      <c r="J7" s="1230"/>
      <c r="K7" s="1230"/>
      <c r="L7" s="1230"/>
      <c r="M7" s="1239"/>
      <c r="N7" s="1230"/>
      <c r="O7" s="1230"/>
      <c r="P7" s="1230"/>
    </row>
    <row r="8" spans="1:18" ht="13" customHeight="1">
      <c r="B8" s="4"/>
      <c r="C8" s="1233"/>
      <c r="D8" s="1233"/>
      <c r="E8" s="1243"/>
      <c r="F8" s="1264"/>
      <c r="G8" s="1263" t="s">
        <v>494</v>
      </c>
      <c r="H8" s="1228"/>
      <c r="I8" s="1263" t="s">
        <v>494</v>
      </c>
      <c r="K8" s="4"/>
      <c r="M8" s="1263" t="s">
        <v>494</v>
      </c>
      <c r="O8" s="4"/>
      <c r="P8" s="4"/>
    </row>
    <row r="9" spans="1:18" ht="18">
      <c r="B9" s="4"/>
      <c r="C9" s="1500"/>
      <c r="D9" s="369"/>
      <c r="E9" s="1244" t="s">
        <v>481</v>
      </c>
      <c r="F9" s="355"/>
      <c r="G9" s="1216" t="str">
        <f>MIXITE!G50</f>
        <v>commentaire</v>
      </c>
      <c r="H9" s="1224"/>
      <c r="I9" s="1216" t="str">
        <f>MIXITE!G51</f>
        <v>hypothèse</v>
      </c>
      <c r="J9" s="355"/>
      <c r="K9" s="1268"/>
      <c r="L9" s="355"/>
      <c r="M9" s="1498" t="str">
        <f>PRONOSTIC!C19</f>
        <v>Opportunité : De nouveaux métiers apparaissent au sein de l’entreprise. Une opportunité pour développer la mixité ;</v>
      </c>
      <c r="N9" s="355"/>
      <c r="O9" s="1271"/>
      <c r="P9" s="1221"/>
      <c r="Q9" s="1221"/>
      <c r="R9" s="1221"/>
    </row>
    <row r="10" spans="1:18" ht="18">
      <c r="B10" s="4"/>
      <c r="C10" s="1501"/>
      <c r="D10" s="1245"/>
      <c r="E10" s="1244" t="s">
        <v>482</v>
      </c>
      <c r="F10" s="355"/>
      <c r="G10" s="1216" t="str">
        <f>MIXITE!G89</f>
        <v>commentaire</v>
      </c>
      <c r="H10" s="1224"/>
      <c r="I10" s="1216" t="str">
        <f>MIXITE!G90</f>
        <v>hypothèse</v>
      </c>
      <c r="J10" s="355"/>
      <c r="K10" s="1269"/>
      <c r="L10" s="355"/>
      <c r="M10" s="1499"/>
      <c r="N10" s="355"/>
      <c r="O10" s="1272"/>
      <c r="P10" s="1221"/>
      <c r="Q10" s="1221"/>
      <c r="R10" s="1221"/>
    </row>
    <row r="11" spans="1:18" ht="18">
      <c r="B11" s="4"/>
      <c r="C11" s="1501"/>
      <c r="D11" s="1245"/>
      <c r="E11" s="1244" t="s">
        <v>483</v>
      </c>
      <c r="F11" s="355"/>
      <c r="G11" s="1216" t="str">
        <f>MIXITE!G133</f>
        <v>commentaire</v>
      </c>
      <c r="H11" s="1224"/>
      <c r="I11" s="1216" t="str">
        <f>MIXITE!G134</f>
        <v>hypothèse</v>
      </c>
      <c r="J11" s="355"/>
      <c r="K11" s="1269"/>
      <c r="L11" s="355"/>
      <c r="M11" s="1499"/>
      <c r="N11" s="355"/>
      <c r="O11" s="1272"/>
      <c r="P11" s="1221"/>
      <c r="Q11" s="1221"/>
      <c r="R11" s="1221"/>
    </row>
    <row r="12" spans="1:18" ht="35" customHeight="1">
      <c r="B12" s="4"/>
      <c r="C12" s="1501"/>
      <c r="D12" s="1245"/>
      <c r="E12" s="1246" t="s">
        <v>484</v>
      </c>
      <c r="F12" s="355"/>
      <c r="G12" s="1216" t="str">
        <f>MIXITE!G174</f>
        <v>commentaire</v>
      </c>
      <c r="H12" s="1224"/>
      <c r="I12" s="1216" t="str">
        <f>MIXITE!G175</f>
        <v>hypothèse</v>
      </c>
      <c r="J12" s="355"/>
      <c r="K12" s="1269"/>
      <c r="L12" s="355"/>
      <c r="M12" s="1506" t="str">
        <f>PRONOSTIC!C22</f>
        <v>Frein : La mixité et la diversité sociale ne sont pas toujours au rendez-vous dans cette entreprise. Les fiches de postes ne sont pas encore créées pour ces nouveaux métiers. Il existe un risque d’automatisation sur certains de ces postes.</v>
      </c>
      <c r="N12" s="355"/>
      <c r="O12" s="1272"/>
      <c r="P12" s="1221"/>
      <c r="Q12" s="1221"/>
      <c r="R12" s="1221"/>
    </row>
    <row r="13" spans="1:18" ht="18">
      <c r="B13" s="4"/>
      <c r="C13" s="1501"/>
      <c r="D13" s="1245"/>
      <c r="E13" s="1244" t="s">
        <v>26</v>
      </c>
      <c r="F13" s="355"/>
      <c r="G13" s="1216" t="str">
        <f>MIXITE!G219</f>
        <v>commentaire</v>
      </c>
      <c r="H13" s="1224"/>
      <c r="I13" s="1217" t="str">
        <f>MIXITE!G220</f>
        <v>hypothèse</v>
      </c>
      <c r="J13" s="355"/>
      <c r="K13" s="1269"/>
      <c r="L13" s="355"/>
      <c r="M13" s="1507"/>
      <c r="N13" s="355"/>
      <c r="O13" s="1273"/>
      <c r="P13" s="1221"/>
      <c r="Q13" s="1221"/>
      <c r="R13" s="1221"/>
    </row>
    <row r="14" spans="1:18" ht="18">
      <c r="B14" s="4"/>
      <c r="C14" s="1501"/>
      <c r="D14" s="1245"/>
      <c r="E14" s="1244" t="s">
        <v>480</v>
      </c>
      <c r="F14" s="355"/>
      <c r="G14" s="1216" t="str">
        <f>MIXITE!G262</f>
        <v>commentaire</v>
      </c>
      <c r="H14" s="1224"/>
      <c r="I14" s="1217" t="str">
        <f>MIXITE!G263</f>
        <v>hypothèse</v>
      </c>
      <c r="J14" s="355"/>
      <c r="K14" s="1269"/>
      <c r="L14" s="355"/>
      <c r="M14" s="1507"/>
      <c r="N14" s="355"/>
      <c r="O14" s="1273"/>
      <c r="P14" s="1221"/>
      <c r="Q14" s="1221"/>
      <c r="R14" s="1221"/>
    </row>
    <row r="15" spans="1:18" ht="18">
      <c r="B15" s="4"/>
      <c r="C15" s="1501"/>
      <c r="D15" s="1245"/>
      <c r="E15" s="1244" t="s">
        <v>479</v>
      </c>
      <c r="F15" s="355"/>
      <c r="G15" s="1216" t="str">
        <f>MIXITE!G307</f>
        <v>commentaire</v>
      </c>
      <c r="H15" s="1224"/>
      <c r="I15" s="1217" t="str">
        <f>MIXITE!G308</f>
        <v>hypothèse</v>
      </c>
      <c r="J15" s="355"/>
      <c r="K15" s="1269"/>
      <c r="L15" s="355"/>
      <c r="M15" s="1507"/>
      <c r="N15" s="355"/>
      <c r="O15" s="1273"/>
      <c r="P15" s="1221"/>
      <c r="Q15" s="1221"/>
      <c r="R15" s="1221"/>
    </row>
    <row r="16" spans="1:18" s="1106" customFormat="1" ht="18">
      <c r="A16" s="119"/>
      <c r="B16" s="4"/>
      <c r="C16" s="1245"/>
      <c r="D16" s="1245"/>
      <c r="E16" s="1244"/>
      <c r="F16" s="355"/>
      <c r="G16" s="1216"/>
      <c r="H16" s="1224"/>
      <c r="I16" s="1217"/>
      <c r="J16" s="355"/>
      <c r="K16" s="1270"/>
      <c r="L16" s="355"/>
      <c r="M16" s="1257"/>
      <c r="N16" s="355"/>
      <c r="O16" s="355"/>
      <c r="P16" s="1221"/>
      <c r="Q16" s="1221"/>
      <c r="R16" s="1221"/>
    </row>
    <row r="17" spans="1:20" s="1106" customFormat="1" ht="18">
      <c r="A17" s="119"/>
      <c r="B17" s="4"/>
      <c r="C17" s="1245"/>
      <c r="D17" s="1245"/>
      <c r="E17" s="1244"/>
      <c r="F17" s="355"/>
      <c r="G17" s="1216"/>
      <c r="H17" s="1224"/>
      <c r="I17" s="1217"/>
      <c r="J17" s="355"/>
      <c r="K17" s="355"/>
      <c r="L17" s="355"/>
      <c r="M17" s="1257"/>
      <c r="N17" s="355"/>
      <c r="O17" s="355"/>
      <c r="P17" s="1221"/>
      <c r="Q17" s="1221"/>
      <c r="R17" s="1221"/>
    </row>
    <row r="18" spans="1:20" s="1106" customFormat="1" ht="18">
      <c r="A18" s="119"/>
      <c r="B18" s="4"/>
      <c r="C18" s="1245"/>
      <c r="D18" s="1245"/>
      <c r="E18" s="1244"/>
      <c r="F18" s="1177"/>
      <c r="G18" s="998"/>
      <c r="H18" s="1226"/>
      <c r="I18" s="1155"/>
      <c r="J18" s="1177"/>
      <c r="K18" s="1177"/>
      <c r="L18" s="1177"/>
      <c r="M18" s="1257"/>
      <c r="N18" s="1177"/>
      <c r="O18" s="1177"/>
      <c r="P18" s="4"/>
      <c r="Q18" s="4"/>
      <c r="R18" s="4"/>
    </row>
    <row r="19" spans="1:20" s="51" customFormat="1" ht="18">
      <c r="A19" s="119"/>
      <c r="B19" s="1177"/>
      <c r="C19" s="1245"/>
      <c r="D19" s="1245"/>
      <c r="E19" s="1244"/>
      <c r="F19" s="1177"/>
      <c r="G19" s="998"/>
      <c r="H19" s="1226"/>
      <c r="I19" s="1155"/>
      <c r="J19" s="1177"/>
      <c r="K19" s="1177"/>
      <c r="L19" s="1177"/>
      <c r="M19" s="1257"/>
      <c r="N19" s="1177"/>
      <c r="O19" s="1177"/>
      <c r="P19" s="1177"/>
      <c r="Q19" s="1177"/>
      <c r="R19" s="1177"/>
    </row>
    <row r="20" spans="1:20" s="51" customFormat="1" ht="19" customHeight="1">
      <c r="A20" s="119"/>
      <c r="B20" s="1177"/>
      <c r="C20" s="1496" t="s">
        <v>217</v>
      </c>
      <c r="D20" s="1496"/>
      <c r="E20" s="1496"/>
      <c r="F20" s="1177"/>
      <c r="G20" s="998"/>
      <c r="H20" s="1226"/>
      <c r="I20" s="1155"/>
      <c r="J20" s="1177"/>
      <c r="K20" s="1177"/>
      <c r="L20" s="1177"/>
      <c r="M20" s="1257"/>
      <c r="N20" s="1177"/>
      <c r="O20" s="1177"/>
      <c r="P20" s="1177"/>
      <c r="Q20" s="1177"/>
      <c r="R20" s="1177"/>
    </row>
    <row r="21" spans="1:20" s="1056" customFormat="1" ht="18">
      <c r="A21" s="119"/>
      <c r="B21" s="4"/>
      <c r="C21" s="1247"/>
      <c r="D21" s="1247"/>
      <c r="E21" s="1248"/>
      <c r="F21" s="1221"/>
      <c r="G21" s="1218"/>
      <c r="H21" s="1227"/>
      <c r="I21" s="1219"/>
      <c r="J21" s="1221"/>
      <c r="K21" s="1220"/>
      <c r="L21" s="1221"/>
      <c r="M21" s="1258"/>
      <c r="N21" s="1221"/>
      <c r="O21" s="1221"/>
      <c r="P21" s="1221"/>
      <c r="Q21" s="1215"/>
      <c r="R21" s="1215"/>
      <c r="S21" s="1215"/>
      <c r="T21" s="1215"/>
    </row>
    <row r="22" spans="1:20" ht="22" customHeight="1">
      <c r="B22" s="4"/>
      <c r="C22" s="1500"/>
      <c r="D22" s="369"/>
      <c r="E22" s="1244" t="s">
        <v>485</v>
      </c>
      <c r="F22" s="355"/>
      <c r="G22" s="1217" t="str">
        <f>PARCOURS!G48</f>
        <v>commentaire</v>
      </c>
      <c r="H22" s="1224"/>
      <c r="I22" s="1217" t="str">
        <f>PARCOURS!G49</f>
        <v>hypothèse</v>
      </c>
      <c r="J22" s="355"/>
      <c r="K22" s="1268"/>
      <c r="L22" s="355"/>
      <c r="M22" s="1498" t="str">
        <f>PRONOSTIC!C29</f>
        <v>Opportunité : De nouveaux métiers apparaissent au sein de l’entreprise. Une opportunité pour développer les parcours en interne. A noter que les femmes sont cantonnées aux métiers administratifs et de la logistique ;</v>
      </c>
      <c r="N22" s="355"/>
      <c r="O22" s="1274"/>
      <c r="P22" s="1221"/>
      <c r="Q22" s="1221"/>
      <c r="R22" s="1215"/>
      <c r="S22" s="1215"/>
      <c r="T22" s="1215"/>
    </row>
    <row r="23" spans="1:20" ht="22" customHeight="1">
      <c r="B23" s="4"/>
      <c r="C23" s="1501"/>
      <c r="D23" s="1245"/>
      <c r="E23" s="1244" t="s">
        <v>486</v>
      </c>
      <c r="F23" s="355"/>
      <c r="G23" s="1217" t="str">
        <f>PARCOURS!G87</f>
        <v>commentaire</v>
      </c>
      <c r="H23" s="1224"/>
      <c r="I23" s="1217" t="str">
        <f>PARCOURS!G88</f>
        <v>hypothèse</v>
      </c>
      <c r="J23" s="355"/>
      <c r="K23" s="1269"/>
      <c r="L23" s="355"/>
      <c r="M23" s="1499"/>
      <c r="N23" s="355"/>
      <c r="O23" s="1274"/>
      <c r="P23" s="1221"/>
      <c r="Q23" s="1221"/>
      <c r="R23" s="1215"/>
      <c r="S23" s="1215"/>
      <c r="T23" s="1215"/>
    </row>
    <row r="24" spans="1:20" ht="22" customHeight="1">
      <c r="B24" s="4"/>
      <c r="C24" s="1501"/>
      <c r="D24" s="1245"/>
      <c r="E24" s="1244" t="s">
        <v>41</v>
      </c>
      <c r="F24" s="355"/>
      <c r="G24" s="1217" t="str">
        <f>PARCOURS!G138</f>
        <v>commentaire</v>
      </c>
      <c r="H24" s="1224"/>
      <c r="I24" s="1217" t="str">
        <f>PARCOURS!G139</f>
        <v>hypothèse</v>
      </c>
      <c r="J24" s="355"/>
      <c r="K24" s="1269"/>
      <c r="L24" s="355"/>
      <c r="M24" s="1499"/>
      <c r="N24" s="355"/>
      <c r="O24" s="1274"/>
      <c r="P24" s="1221"/>
      <c r="Q24" s="1221"/>
      <c r="R24" s="1215"/>
      <c r="S24" s="1215"/>
      <c r="T24" s="1215"/>
    </row>
    <row r="25" spans="1:20" ht="22" customHeight="1">
      <c r="B25" s="4"/>
      <c r="C25" s="1501"/>
      <c r="D25" s="1245"/>
      <c r="E25" s="1244" t="s">
        <v>487</v>
      </c>
      <c r="F25" s="355"/>
      <c r="G25" s="1217" t="str">
        <f>PARCOURS!G182</f>
        <v>commentaire</v>
      </c>
      <c r="H25" s="1224"/>
      <c r="I25" s="1217" t="str">
        <f>PARCOURS!G183</f>
        <v>hypothèse</v>
      </c>
      <c r="J25" s="355"/>
      <c r="K25" s="1269"/>
      <c r="L25" s="355"/>
      <c r="M25" s="1498" t="str">
        <f>PRONOSTIC!C32</f>
        <v>Frein : Les nouveaux métiers demandent des compétences numériques que certaines populations seniors ont à développer. Les réponses en termes d’accompagnement ne sont pas toujours adaptées aux populations. Un mix de formations en présentiel et distanciel semble important.</v>
      </c>
      <c r="N25" s="355"/>
      <c r="O25" s="1275"/>
      <c r="P25" s="1221"/>
      <c r="Q25" s="1221"/>
      <c r="R25" s="1215"/>
      <c r="S25" s="1215"/>
      <c r="T25" s="1215"/>
    </row>
    <row r="26" spans="1:20" ht="22" customHeight="1">
      <c r="B26" s="4"/>
      <c r="C26" s="1501"/>
      <c r="D26" s="1245"/>
      <c r="E26" s="1244" t="s">
        <v>488</v>
      </c>
      <c r="F26" s="355"/>
      <c r="G26" s="1217" t="str">
        <f>PARCOURS!G238</f>
        <v>commentaire</v>
      </c>
      <c r="H26" s="1224"/>
      <c r="I26" s="1217" t="str">
        <f>PARCOURS!G239</f>
        <v>hypothèse</v>
      </c>
      <c r="J26" s="355"/>
      <c r="K26" s="1269"/>
      <c r="L26" s="355"/>
      <c r="M26" s="1504"/>
      <c r="N26" s="355"/>
      <c r="O26" s="1274"/>
      <c r="P26" s="1221"/>
      <c r="Q26" s="1221"/>
      <c r="R26" s="1215"/>
      <c r="S26" s="1215"/>
      <c r="T26" s="1215"/>
    </row>
    <row r="27" spans="1:20" ht="23" customHeight="1">
      <c r="B27" s="4"/>
      <c r="C27" s="1245"/>
      <c r="D27" s="1245"/>
      <c r="E27" s="1244" t="s">
        <v>510</v>
      </c>
      <c r="F27" s="355"/>
      <c r="G27" s="1217" t="str">
        <f>PARCOURS!E311</f>
        <v>commentaire</v>
      </c>
      <c r="H27" s="1224"/>
      <c r="I27" s="1217" t="str">
        <f>PARCOURS!E312</f>
        <v>hypothèse</v>
      </c>
      <c r="J27" s="355"/>
      <c r="K27" s="1269"/>
      <c r="L27" s="355"/>
      <c r="M27" s="1504"/>
      <c r="N27" s="355"/>
      <c r="O27" s="1274"/>
      <c r="P27" s="1221"/>
      <c r="Q27" s="1221"/>
      <c r="R27" s="1215"/>
      <c r="S27" s="1215"/>
      <c r="T27" s="1215"/>
    </row>
    <row r="28" spans="1:20" s="1106" customFormat="1" ht="23" customHeight="1">
      <c r="A28" s="119"/>
      <c r="B28" s="4"/>
      <c r="C28" s="1245"/>
      <c r="D28" s="1245"/>
      <c r="E28" s="1244"/>
      <c r="F28" s="355"/>
      <c r="G28" s="1217"/>
      <c r="H28" s="1224"/>
      <c r="I28" s="1217"/>
      <c r="J28" s="355"/>
      <c r="K28" s="1269"/>
      <c r="L28" s="355"/>
      <c r="M28" s="1208"/>
      <c r="N28" s="355"/>
      <c r="O28" s="1274"/>
      <c r="P28" s="1221"/>
      <c r="Q28" s="1221"/>
      <c r="R28" s="1215"/>
      <c r="S28" s="1215"/>
      <c r="T28" s="1215"/>
    </row>
    <row r="29" spans="1:20" s="1106" customFormat="1" ht="23" customHeight="1">
      <c r="A29" s="119"/>
      <c r="B29" s="4"/>
      <c r="C29" s="1245"/>
      <c r="D29" s="1245"/>
      <c r="E29" s="1244"/>
      <c r="F29" s="355"/>
      <c r="G29" s="1217"/>
      <c r="H29" s="1224"/>
      <c r="I29" s="1217"/>
      <c r="J29" s="355"/>
      <c r="K29" s="1269"/>
      <c r="L29" s="355"/>
      <c r="M29" s="1208"/>
      <c r="N29" s="355"/>
      <c r="O29" s="1274"/>
      <c r="P29" s="1221"/>
      <c r="Q29" s="1221"/>
      <c r="R29" s="1215"/>
      <c r="S29" s="1215"/>
      <c r="T29" s="1215"/>
    </row>
    <row r="30" spans="1:20" s="1106" customFormat="1" ht="23" customHeight="1">
      <c r="A30" s="119"/>
      <c r="B30" s="4"/>
      <c r="C30" s="1245"/>
      <c r="D30" s="1245"/>
      <c r="E30" s="1244"/>
      <c r="F30" s="1177"/>
      <c r="G30" s="1155"/>
      <c r="H30" s="1226"/>
      <c r="I30" s="1155"/>
      <c r="J30" s="1177"/>
      <c r="K30" s="1267"/>
      <c r="L30" s="1177"/>
      <c r="M30" s="1208"/>
      <c r="N30" s="1177"/>
      <c r="O30" s="1276"/>
      <c r="P30" s="4"/>
      <c r="Q30" s="4"/>
    </row>
    <row r="31" spans="1:20" s="1106" customFormat="1" ht="22" customHeight="1">
      <c r="A31" s="119"/>
      <c r="B31" s="4"/>
      <c r="C31" s="1245"/>
      <c r="D31" s="1245"/>
      <c r="E31" s="1244"/>
      <c r="F31" s="4"/>
      <c r="G31" s="1155"/>
      <c r="H31" s="1226"/>
      <c r="I31" s="1155"/>
      <c r="J31" s="4"/>
      <c r="K31" s="1177"/>
      <c r="L31" s="4"/>
      <c r="M31" s="1207"/>
      <c r="N31" s="4"/>
      <c r="O31" s="4"/>
      <c r="P31" s="4"/>
    </row>
    <row r="32" spans="1:20" s="1106" customFormat="1" ht="22" customHeight="1">
      <c r="A32" s="119"/>
      <c r="B32" s="4"/>
      <c r="C32" s="1497" t="s">
        <v>234</v>
      </c>
      <c r="D32" s="1497"/>
      <c r="E32" s="1497"/>
      <c r="F32" s="355"/>
      <c r="G32" s="1217"/>
      <c r="H32" s="1224"/>
      <c r="I32" s="1217"/>
      <c r="J32" s="355"/>
      <c r="K32" s="355"/>
      <c r="L32" s="355"/>
      <c r="M32" s="1208"/>
      <c r="N32" s="355"/>
      <c r="O32" s="1221"/>
      <c r="P32" s="1221"/>
      <c r="Q32" s="1215"/>
      <c r="R32" s="1215"/>
      <c r="S32" s="1215"/>
    </row>
    <row r="33" spans="1:19" ht="22" customHeight="1">
      <c r="B33" s="4"/>
      <c r="C33" s="1245"/>
      <c r="D33" s="1245"/>
      <c r="E33" s="1249"/>
      <c r="F33" s="1221"/>
      <c r="G33" s="1216"/>
      <c r="H33" s="1224"/>
      <c r="I33" s="1216"/>
      <c r="J33" s="1221"/>
      <c r="K33" s="1268"/>
      <c r="L33" s="1221"/>
      <c r="M33" s="1259"/>
      <c r="N33" s="1221"/>
      <c r="O33" s="1274"/>
      <c r="P33" s="1221"/>
      <c r="Q33" s="1215"/>
      <c r="R33" s="1215"/>
      <c r="S33" s="1215"/>
    </row>
    <row r="34" spans="1:19" s="1056" customFormat="1" ht="22" customHeight="1">
      <c r="A34" s="119"/>
      <c r="B34" s="4"/>
      <c r="C34" s="1245"/>
      <c r="D34" s="1245"/>
      <c r="E34" s="1250" t="s">
        <v>982</v>
      </c>
      <c r="F34" s="1221"/>
      <c r="G34" s="1216" t="str">
        <f>'INDIC. 1 Ecart Rémunération'!J46</f>
        <v>commentaire</v>
      </c>
      <c r="H34" s="1224"/>
      <c r="I34" s="1216" t="str">
        <f>'INDIC. 1 Ecart Rémunération'!J47</f>
        <v>hypothèse</v>
      </c>
      <c r="J34" s="1221"/>
      <c r="K34" s="1269"/>
      <c r="L34" s="1221"/>
      <c r="M34" s="1260"/>
      <c r="N34" s="1221"/>
      <c r="O34" s="1274"/>
      <c r="P34" s="1221"/>
      <c r="Q34" s="1221"/>
      <c r="R34" s="1221"/>
      <c r="S34" s="1215"/>
    </row>
    <row r="35" spans="1:19" s="1056" customFormat="1" ht="22" customHeight="1">
      <c r="A35" s="119"/>
      <c r="B35" s="4"/>
      <c r="C35" s="1500"/>
      <c r="D35" s="1245"/>
      <c r="E35" s="1250" t="s">
        <v>983</v>
      </c>
      <c r="F35" s="1221"/>
      <c r="G35" s="1216" t="str">
        <f>'INDIC.2 Ecart Tx Augmentation'!M63</f>
        <v>commentaire</v>
      </c>
      <c r="H35" s="1224"/>
      <c r="I35" s="1216" t="str">
        <f>'INDIC.2 Ecart Tx Augmentation'!M64</f>
        <v>hypothèse</v>
      </c>
      <c r="J35" s="1221"/>
      <c r="K35" s="1269"/>
      <c r="L35" s="1221"/>
      <c r="M35" s="1260"/>
      <c r="N35" s="1221"/>
      <c r="O35" s="1274"/>
      <c r="P35" s="1221"/>
      <c r="Q35" s="1221"/>
      <c r="R35" s="1221"/>
      <c r="S35" s="1215"/>
    </row>
    <row r="36" spans="1:19" s="1056" customFormat="1" ht="22" customHeight="1">
      <c r="A36" s="119"/>
      <c r="B36" s="4"/>
      <c r="C36" s="1502"/>
      <c r="D36" s="1245"/>
      <c r="E36" s="1250" t="s">
        <v>984</v>
      </c>
      <c r="F36" s="1221"/>
      <c r="G36" s="1216" t="str">
        <f>'INDIC.3 Ecart Tx Promotion'!M45</f>
        <v>commentaire</v>
      </c>
      <c r="H36" s="1224"/>
      <c r="I36" s="1216" t="str">
        <f>'INDIC.3 Ecart Tx Promotion'!M46</f>
        <v>hypothèse</v>
      </c>
      <c r="J36" s="1221"/>
      <c r="K36" s="1269"/>
      <c r="L36" s="1221"/>
      <c r="M36" s="1260"/>
      <c r="N36" s="1221"/>
      <c r="O36" s="1274"/>
      <c r="P36" s="1221"/>
      <c r="Q36" s="1221"/>
      <c r="R36" s="1221"/>
      <c r="S36" s="1215"/>
    </row>
    <row r="37" spans="1:19" s="1056" customFormat="1" ht="22" customHeight="1">
      <c r="A37" s="119"/>
      <c r="B37" s="4"/>
      <c r="C37" s="1502"/>
      <c r="D37" s="1245"/>
      <c r="E37" s="1250" t="s">
        <v>985</v>
      </c>
      <c r="F37" s="1221"/>
      <c r="G37" s="1216" t="str">
        <f>'INDIC.3 ou 4 A Maternité'!H41</f>
        <v>commentaire</v>
      </c>
      <c r="H37" s="1224"/>
      <c r="I37" s="1216" t="str">
        <f>'INDIC.3 ou 4 A Maternité'!H42</f>
        <v>hypothèse</v>
      </c>
      <c r="J37" s="1221"/>
      <c r="K37" s="1269"/>
      <c r="L37" s="1221"/>
      <c r="M37" s="1260"/>
      <c r="N37" s="1221"/>
      <c r="O37" s="1274"/>
      <c r="P37" s="1221"/>
      <c r="Q37" s="1221"/>
      <c r="R37" s="1221"/>
      <c r="S37" s="1215"/>
    </row>
    <row r="38" spans="1:19" s="1056" customFormat="1" ht="16" customHeight="1">
      <c r="A38" s="119"/>
      <c r="B38" s="4"/>
      <c r="C38" s="1245"/>
      <c r="D38" s="1245"/>
      <c r="E38" s="1250" t="s">
        <v>986</v>
      </c>
      <c r="F38" s="1221"/>
      <c r="G38" s="1216" t="str">
        <f>'INDIC.4 ou 5 10+ Hautes Rému'!H30</f>
        <v>commentaire</v>
      </c>
      <c r="H38" s="1224"/>
      <c r="I38" s="1216" t="str">
        <f>'INDIC.4 ou 5 10+ Hautes Rému'!H31</f>
        <v>hypothèse</v>
      </c>
      <c r="J38" s="1221"/>
      <c r="K38" s="1269"/>
      <c r="L38" s="1221"/>
      <c r="M38" s="1260"/>
      <c r="N38" s="1221"/>
      <c r="O38" s="1274"/>
      <c r="P38" s="1221"/>
      <c r="Q38" s="1221"/>
      <c r="R38" s="1221"/>
      <c r="S38" s="1215"/>
    </row>
    <row r="39" spans="1:19" s="1106" customFormat="1" ht="16" customHeight="1">
      <c r="A39" s="119"/>
      <c r="B39" s="4"/>
      <c r="C39" s="1245"/>
      <c r="D39" s="1245"/>
      <c r="E39" s="1249"/>
      <c r="F39" s="1221"/>
      <c r="G39" s="1216"/>
      <c r="H39" s="1224"/>
      <c r="I39" s="1216"/>
      <c r="J39" s="1221"/>
      <c r="K39" s="1269"/>
      <c r="L39" s="1221"/>
      <c r="M39" s="1260"/>
      <c r="N39" s="1221"/>
      <c r="O39" s="1274"/>
      <c r="P39" s="1221"/>
      <c r="Q39" s="1221"/>
      <c r="R39" s="1221"/>
      <c r="S39" s="1215"/>
    </row>
    <row r="40" spans="1:19" s="1106" customFormat="1" ht="16" customHeight="1">
      <c r="A40" s="119"/>
      <c r="B40" s="4"/>
      <c r="C40" s="1245"/>
      <c r="D40" s="1245"/>
      <c r="E40" s="1249"/>
      <c r="F40" s="1221"/>
      <c r="G40" s="1216"/>
      <c r="H40" s="1224"/>
      <c r="I40" s="1216"/>
      <c r="J40" s="1221"/>
      <c r="K40" s="1269"/>
      <c r="L40" s="1221"/>
      <c r="M40" s="1260"/>
      <c r="N40" s="1221"/>
      <c r="O40" s="1274"/>
      <c r="P40" s="1221"/>
      <c r="Q40" s="1221"/>
      <c r="R40" s="1221"/>
      <c r="S40" s="1215"/>
    </row>
    <row r="41" spans="1:19" s="1106" customFormat="1" ht="16" customHeight="1">
      <c r="A41" s="119"/>
      <c r="B41" s="4"/>
      <c r="C41" s="1245"/>
      <c r="D41" s="1245"/>
      <c r="E41" s="1249"/>
      <c r="F41" s="1221"/>
      <c r="G41" s="1216"/>
      <c r="H41" s="1224"/>
      <c r="I41" s="1216"/>
      <c r="J41" s="1221"/>
      <c r="K41" s="1269"/>
      <c r="L41" s="1221"/>
      <c r="M41" s="1260"/>
      <c r="N41" s="1221"/>
      <c r="O41" s="1274"/>
      <c r="P41" s="1221"/>
      <c r="Q41" s="1215"/>
      <c r="R41" s="1215"/>
      <c r="S41" s="1215"/>
    </row>
    <row r="42" spans="1:19" s="1106" customFormat="1" ht="16" customHeight="1">
      <c r="A42" s="119"/>
      <c r="B42" s="4"/>
      <c r="C42" s="1245"/>
      <c r="D42" s="1245"/>
      <c r="E42" s="1249"/>
      <c r="F42" s="1221"/>
      <c r="G42" s="1216"/>
      <c r="H42" s="1224"/>
      <c r="I42" s="1216"/>
      <c r="J42" s="1221"/>
      <c r="K42" s="1269"/>
      <c r="L42" s="1221"/>
      <c r="M42" s="1260"/>
      <c r="N42" s="1221"/>
      <c r="O42" s="1273"/>
      <c r="P42" s="1221"/>
      <c r="Q42" s="1215"/>
      <c r="R42" s="1215"/>
      <c r="S42" s="1215"/>
    </row>
    <row r="43" spans="1:19" s="1106" customFormat="1" ht="22" customHeight="1">
      <c r="A43" s="119"/>
      <c r="B43" s="4"/>
      <c r="C43" s="1245"/>
      <c r="D43" s="1245"/>
      <c r="E43" s="1249"/>
      <c r="F43" s="1221"/>
      <c r="G43" s="1217"/>
      <c r="H43" s="1224"/>
      <c r="I43" s="1217"/>
      <c r="J43" s="1221"/>
      <c r="K43" s="1270"/>
      <c r="L43" s="1221"/>
      <c r="M43" s="1260"/>
      <c r="N43" s="1221"/>
      <c r="O43" s="1277"/>
      <c r="P43" s="1221"/>
      <c r="Q43" s="1215"/>
      <c r="R43" s="1215"/>
      <c r="S43" s="1215"/>
    </row>
    <row r="44" spans="1:19" s="72" customFormat="1" ht="22" customHeight="1">
      <c r="A44" s="119"/>
      <c r="B44" s="376"/>
      <c r="C44" s="1280"/>
      <c r="D44" s="1280"/>
      <c r="E44" s="1281"/>
      <c r="F44" s="1220"/>
      <c r="G44" s="1219"/>
      <c r="H44" s="1282"/>
      <c r="I44" s="1219"/>
      <c r="J44" s="1220"/>
      <c r="K44" s="1220"/>
      <c r="L44" s="1220"/>
      <c r="M44" s="1258"/>
      <c r="N44" s="1220"/>
      <c r="O44" s="376"/>
      <c r="P44" s="1220"/>
      <c r="Q44" s="1283"/>
      <c r="R44" s="1283"/>
      <c r="S44" s="1283"/>
    </row>
    <row r="45" spans="1:19" s="1106" customFormat="1" ht="22" customHeight="1">
      <c r="A45" s="119"/>
      <c r="B45" s="4"/>
      <c r="C45" s="1503" t="s">
        <v>97</v>
      </c>
      <c r="D45" s="1503"/>
      <c r="E45" s="1503"/>
      <c r="F45" s="1177"/>
      <c r="G45" s="1155"/>
      <c r="H45" s="1226"/>
      <c r="I45" s="1155"/>
      <c r="J45" s="1177"/>
      <c r="K45" s="1177"/>
      <c r="L45" s="1177"/>
      <c r="M45" s="1260"/>
      <c r="N45" s="1177"/>
      <c r="P45" s="4"/>
      <c r="Q45" s="4"/>
      <c r="R45" s="4"/>
    </row>
    <row r="46" spans="1:19" s="1056" customFormat="1" ht="22" customHeight="1">
      <c r="A46" s="119"/>
      <c r="B46" s="4"/>
      <c r="C46" s="1247"/>
      <c r="D46" s="1247"/>
      <c r="E46" s="1251"/>
      <c r="F46" s="1221"/>
      <c r="G46" s="1217"/>
      <c r="H46" s="1227"/>
      <c r="I46" s="1217"/>
      <c r="J46" s="1221"/>
      <c r="K46" s="1220"/>
      <c r="L46" s="1221"/>
      <c r="M46" s="1260"/>
      <c r="N46" s="1221"/>
      <c r="O46" s="1221"/>
      <c r="P46" s="1221"/>
      <c r="Q46" s="1221"/>
      <c r="R46" s="1221"/>
    </row>
    <row r="47" spans="1:19" ht="25" customHeight="1">
      <c r="B47" s="4"/>
      <c r="C47" s="1500"/>
      <c r="D47" s="369"/>
      <c r="E47" s="1246" t="s">
        <v>490</v>
      </c>
      <c r="F47" s="1221"/>
      <c r="G47" s="1216" t="str">
        <f>'CONDITIONS TRAVAIL'!G52</f>
        <v>commentaire</v>
      </c>
      <c r="H47" s="1224"/>
      <c r="I47" s="1217" t="str">
        <f>'CONDITIONS TRAVAIL'!G53</f>
        <v>hypothèse</v>
      </c>
      <c r="J47" s="1221"/>
      <c r="K47" s="1268"/>
      <c r="L47" s="1221"/>
      <c r="M47" s="1505" t="str">
        <f>PRONOSTIC!N19</f>
        <v xml:space="preserve">Opportunité : Les outils numériques ouvrent des possibilités en termes d’amélioration des conditions de travail. </v>
      </c>
      <c r="N47" s="1221"/>
      <c r="O47" s="1274"/>
      <c r="P47" s="1221"/>
      <c r="Q47" s="1221"/>
      <c r="R47" s="1221"/>
    </row>
    <row r="48" spans="1:19" ht="27" customHeight="1">
      <c r="B48" s="4"/>
      <c r="C48" s="1500"/>
      <c r="D48" s="369"/>
      <c r="E48" s="1246" t="s">
        <v>491</v>
      </c>
      <c r="F48" s="1221"/>
      <c r="G48" s="1217" t="str">
        <f>'CONDITIONS TRAVAIL'!G92</f>
        <v>commentaire</v>
      </c>
      <c r="H48" s="1224"/>
      <c r="I48" s="1217" t="str">
        <f>'CONDITIONS TRAVAIL'!G93</f>
        <v>hypothèse</v>
      </c>
      <c r="J48" s="1221"/>
      <c r="K48" s="1269"/>
      <c r="L48" s="1221"/>
      <c r="M48" s="1499"/>
      <c r="N48" s="1221"/>
      <c r="O48" s="1275"/>
      <c r="P48" s="1221"/>
      <c r="Q48" s="1221"/>
      <c r="R48" s="1221"/>
    </row>
    <row r="49" spans="1:18" ht="27" customHeight="1">
      <c r="B49" s="4"/>
      <c r="C49" s="1500"/>
      <c r="D49" s="369"/>
      <c r="E49" s="1246" t="s">
        <v>492</v>
      </c>
      <c r="F49" s="1221"/>
      <c r="G49" s="1217" t="str">
        <f>'CONDITIONS TRAVAIL'!G136</f>
        <v>commentaire</v>
      </c>
      <c r="H49" s="1224"/>
      <c r="I49" s="1217" t="str">
        <f>'CONDITIONS TRAVAIL'!G137</f>
        <v>hypothèse</v>
      </c>
      <c r="J49" s="1221"/>
      <c r="K49" s="1269"/>
      <c r="L49" s="1221"/>
      <c r="M49" s="1498" t="str">
        <f>PRONOSTIC!N22</f>
        <v>Frein : Les temps de prise de commande sont fortement optimisés et les salariés ressentent défiance et intrusion par l’intermédiaire de certain outils de reporting</v>
      </c>
      <c r="N49" s="1221"/>
      <c r="O49" s="1274"/>
      <c r="P49" s="1221"/>
      <c r="Q49" s="1221"/>
      <c r="R49" s="1221"/>
    </row>
    <row r="50" spans="1:18" ht="25" customHeight="1">
      <c r="B50" s="4"/>
      <c r="C50" s="1500"/>
      <c r="D50" s="369"/>
      <c r="E50" s="1246" t="s">
        <v>493</v>
      </c>
      <c r="F50" s="1221"/>
      <c r="G50" s="1217" t="str">
        <f>'CONDITIONS TRAVAIL'!G193</f>
        <v>commentaire</v>
      </c>
      <c r="H50" s="1224"/>
      <c r="I50" s="1217" t="str">
        <f>'CONDITIONS TRAVAIL'!G194</f>
        <v>hypothèse</v>
      </c>
      <c r="J50" s="1221"/>
      <c r="K50" s="1269"/>
      <c r="L50" s="1221"/>
      <c r="M50" s="1499"/>
      <c r="N50" s="1221"/>
      <c r="O50" s="1274"/>
      <c r="P50" s="1221"/>
      <c r="Q50" s="1221"/>
      <c r="R50" s="1221"/>
    </row>
    <row r="51" spans="1:18" s="1106" customFormat="1" ht="25" customHeight="1">
      <c r="A51" s="119"/>
      <c r="B51" s="4"/>
      <c r="C51" s="369"/>
      <c r="D51" s="369"/>
      <c r="E51" s="1246"/>
      <c r="F51" s="1221"/>
      <c r="G51" s="1217"/>
      <c r="H51" s="1224"/>
      <c r="I51" s="1217"/>
      <c r="J51" s="1221"/>
      <c r="K51" s="1269"/>
      <c r="L51" s="1221"/>
      <c r="M51" s="1261"/>
      <c r="N51" s="1221"/>
      <c r="O51" s="1275"/>
      <c r="P51" s="1221"/>
      <c r="Q51" s="1221"/>
      <c r="R51" s="1221"/>
    </row>
    <row r="52" spans="1:18" s="1106" customFormat="1" ht="25" customHeight="1">
      <c r="A52" s="119"/>
      <c r="B52" s="4"/>
      <c r="C52" s="369"/>
      <c r="D52" s="369"/>
      <c r="E52" s="1246"/>
      <c r="F52" s="1221"/>
      <c r="G52" s="1217"/>
      <c r="H52" s="1224"/>
      <c r="I52" s="1217"/>
      <c r="J52" s="1221"/>
      <c r="K52" s="1269"/>
      <c r="L52" s="1221"/>
      <c r="M52" s="1261"/>
      <c r="N52" s="1221"/>
      <c r="O52" s="1274"/>
      <c r="P52" s="1221"/>
      <c r="Q52" s="1221"/>
      <c r="R52" s="1221"/>
    </row>
    <row r="53" spans="1:18" s="1106" customFormat="1" ht="25" customHeight="1">
      <c r="A53" s="119"/>
      <c r="B53" s="4"/>
      <c r="C53" s="369"/>
      <c r="D53" s="369"/>
      <c r="E53" s="1246"/>
      <c r="F53" s="1221"/>
      <c r="G53" s="1217"/>
      <c r="H53" s="1224"/>
      <c r="I53" s="1217"/>
      <c r="J53" s="1221"/>
      <c r="K53" s="1269"/>
      <c r="L53" s="1221"/>
      <c r="M53" s="1223"/>
      <c r="N53" s="1221"/>
      <c r="O53" s="1274"/>
      <c r="P53" s="1221"/>
      <c r="Q53" s="1221"/>
      <c r="R53" s="1221"/>
    </row>
    <row r="54" spans="1:18" s="1159" customFormat="1" ht="25" customHeight="1">
      <c r="A54" s="119"/>
      <c r="B54" s="4"/>
      <c r="C54" s="1179"/>
      <c r="D54" s="1179"/>
      <c r="E54" s="1246"/>
      <c r="F54" s="1221"/>
      <c r="G54" s="1217"/>
      <c r="H54" s="1224"/>
      <c r="I54" s="1217"/>
      <c r="J54" s="1221"/>
      <c r="K54" s="1270"/>
      <c r="L54" s="1221"/>
      <c r="M54" s="1225"/>
      <c r="N54" s="1221"/>
      <c r="O54" s="1274"/>
      <c r="P54" s="1221"/>
      <c r="Q54" s="1221"/>
      <c r="R54" s="1221"/>
    </row>
    <row r="55" spans="1:18" s="1159" customFormat="1" ht="25" customHeight="1">
      <c r="A55" s="119"/>
      <c r="B55" s="4"/>
      <c r="C55" s="1179"/>
      <c r="D55" s="1179"/>
      <c r="E55" s="1246"/>
      <c r="F55" s="1221"/>
      <c r="G55" s="1217"/>
      <c r="H55" s="1224"/>
      <c r="I55" s="1217"/>
      <c r="J55" s="1221"/>
      <c r="K55" s="355"/>
      <c r="L55" s="1221"/>
      <c r="M55" s="1225"/>
      <c r="N55" s="1221"/>
      <c r="O55" s="1274"/>
      <c r="P55" s="1221"/>
      <c r="Q55" s="1221"/>
      <c r="R55" s="1221"/>
    </row>
    <row r="56" spans="1:18" s="1159" customFormat="1" ht="25" customHeight="1">
      <c r="A56" s="119"/>
      <c r="B56" s="4"/>
      <c r="C56" s="1179"/>
      <c r="D56" s="1179"/>
      <c r="E56" s="1246"/>
      <c r="F56" s="1221"/>
      <c r="G56" s="1217"/>
      <c r="H56" s="1224"/>
      <c r="I56" s="1217"/>
      <c r="J56" s="1221"/>
      <c r="K56" s="355"/>
      <c r="L56" s="1221"/>
      <c r="M56" s="1225"/>
      <c r="N56" s="1221"/>
      <c r="O56" s="1262"/>
      <c r="P56" s="1221"/>
      <c r="Q56" s="1221"/>
      <c r="R56" s="1221"/>
    </row>
    <row r="57" spans="1:18" ht="18" customHeight="1">
      <c r="B57" s="4"/>
      <c r="C57" s="369"/>
      <c r="D57" s="369"/>
      <c r="E57" s="370"/>
      <c r="G57" s="998"/>
      <c r="H57" s="1228"/>
      <c r="I57" s="998"/>
      <c r="K57" s="376"/>
      <c r="M57" s="1175"/>
      <c r="O57" s="4"/>
      <c r="P57" s="4"/>
      <c r="Q57" s="4"/>
      <c r="R57" s="4"/>
    </row>
    <row r="58" spans="1:18" s="1106" customFormat="1" ht="18" customHeight="1">
      <c r="A58" s="119"/>
      <c r="B58" s="4"/>
      <c r="C58" s="1508" t="s">
        <v>218</v>
      </c>
      <c r="D58" s="1508"/>
      <c r="E58" s="1508"/>
      <c r="F58" s="1177"/>
      <c r="G58" s="998"/>
      <c r="H58" s="1226"/>
      <c r="I58" s="998"/>
      <c r="J58" s="1177"/>
      <c r="K58" s="1177"/>
      <c r="L58" s="1177"/>
      <c r="M58" s="1175"/>
      <c r="N58" s="1177"/>
      <c r="O58" s="4"/>
      <c r="P58" s="4"/>
    </row>
    <row r="59" spans="1:18" s="1106" customFormat="1" ht="18" customHeight="1">
      <c r="A59" s="119"/>
      <c r="B59" s="4"/>
      <c r="C59" s="369"/>
      <c r="D59" s="369"/>
      <c r="E59" s="370"/>
      <c r="F59" s="4"/>
      <c r="G59" s="998"/>
      <c r="H59" s="1228"/>
      <c r="I59" s="998"/>
      <c r="J59" s="4"/>
      <c r="K59" s="1265"/>
      <c r="L59" s="4"/>
      <c r="M59" s="1175"/>
      <c r="N59" s="4"/>
      <c r="O59" s="4"/>
      <c r="P59" s="4"/>
    </row>
    <row r="60" spans="1:18" ht="19" customHeight="1">
      <c r="B60" s="4"/>
      <c r="C60" s="369"/>
      <c r="D60" s="369"/>
      <c r="E60" s="370"/>
      <c r="G60" s="998"/>
      <c r="H60" s="1226"/>
      <c r="I60" s="998"/>
      <c r="K60" s="1266"/>
      <c r="M60" s="1256"/>
      <c r="O60" s="1278"/>
      <c r="P60" s="4"/>
    </row>
    <row r="61" spans="1:18" ht="25" customHeight="1">
      <c r="B61" s="4"/>
      <c r="C61" s="369"/>
      <c r="D61" s="369"/>
      <c r="E61" s="370" t="s">
        <v>489</v>
      </c>
      <c r="G61" s="998" t="str">
        <f>'ARTICULATION TEMPS'!G98</f>
        <v>commentaire</v>
      </c>
      <c r="H61" s="1226"/>
      <c r="I61" s="998" t="str">
        <f>'ARTICULATION TEMPS'!G99</f>
        <v>hypothèse</v>
      </c>
      <c r="K61" s="1266"/>
      <c r="M61" s="1498" t="str">
        <f>PRONOSTIC!N29</f>
        <v>Opportunité : Les outils du numériques peuvent faciliter l’articulation des temps grâce au télétravail et au travail à distance, par exemple et permet d’allier Performance et Qualité de Vie au Travail pour toutes et tous ;</v>
      </c>
      <c r="O61" s="1279"/>
      <c r="P61" s="4"/>
    </row>
    <row r="62" spans="1:18" ht="37" customHeight="1">
      <c r="B62" s="4"/>
      <c r="C62" s="369"/>
      <c r="D62" s="369"/>
      <c r="E62" s="370"/>
      <c r="G62" s="399"/>
      <c r="H62" s="1177"/>
      <c r="I62" s="399"/>
      <c r="K62" s="1266"/>
      <c r="M62" s="1499"/>
      <c r="O62" s="1278"/>
      <c r="P62" s="4"/>
    </row>
    <row r="63" spans="1:18" ht="63" customHeight="1">
      <c r="B63" s="4"/>
      <c r="C63" s="369"/>
      <c r="D63" s="369"/>
      <c r="E63" s="370"/>
      <c r="G63" s="399"/>
      <c r="H63" s="1177"/>
      <c r="I63" s="399"/>
      <c r="K63" s="1266"/>
      <c r="M63" s="1252" t="str">
        <f>PRONOSTIC!N32</f>
        <v>Frein : Une forte concurrence laisse à prévoir le développement du travail de nuit pour les commandes et livraisons rapides. Les amplitudes horaires sont importantes et de vrais problématiques de déconnexion se développent. Le télétravail n’est donc pas bien reçu par l’entreprise malgré les possibilités conférées par les TIC.</v>
      </c>
      <c r="O63" s="1279"/>
      <c r="P63" s="4"/>
    </row>
    <row r="64" spans="1:18" ht="32" customHeight="1">
      <c r="B64" s="4"/>
      <c r="C64" s="369"/>
      <c r="D64" s="369"/>
      <c r="E64" s="370"/>
      <c r="G64" s="399"/>
      <c r="H64" s="1177"/>
      <c r="I64" s="399"/>
      <c r="K64" s="1267"/>
      <c r="M64" s="1222"/>
      <c r="O64" s="1266"/>
      <c r="P64" s="4"/>
    </row>
    <row r="65" spans="2:16" ht="27" customHeight="1">
      <c r="B65" s="4"/>
      <c r="C65" s="369"/>
      <c r="D65" s="369"/>
      <c r="E65" s="370"/>
      <c r="G65" s="399"/>
      <c r="I65" s="399"/>
      <c r="K65" s="376"/>
      <c r="M65" s="1256"/>
      <c r="O65" s="1277"/>
      <c r="P65" s="4"/>
    </row>
    <row r="66" spans="2:16" ht="18">
      <c r="B66" s="4"/>
      <c r="C66" s="369"/>
      <c r="D66" s="369"/>
      <c r="E66" s="370"/>
      <c r="G66" s="399"/>
      <c r="I66" s="399"/>
      <c r="K66" s="376"/>
      <c r="M66" s="1222"/>
      <c r="O66" s="1277"/>
      <c r="P66" s="4"/>
    </row>
    <row r="67" spans="2:16" ht="13" customHeight="1">
      <c r="B67" s="4"/>
      <c r="C67" s="249"/>
      <c r="D67" s="1233"/>
      <c r="E67" s="1233"/>
      <c r="G67" s="376"/>
      <c r="I67" s="376"/>
      <c r="K67" s="376"/>
      <c r="M67" s="1176"/>
      <c r="O67" s="4"/>
      <c r="P67" s="4"/>
    </row>
    <row r="68" spans="2:16" ht="47" customHeight="1">
      <c r="B68" s="4"/>
      <c r="C68" s="1233"/>
      <c r="D68" s="1233"/>
      <c r="E68" s="1233"/>
      <c r="G68" s="1253"/>
      <c r="I68" s="1254"/>
      <c r="K68" s="376"/>
      <c r="M68" s="1176"/>
      <c r="O68" s="4"/>
      <c r="P68" s="4"/>
    </row>
    <row r="69" spans="2:16" ht="20" customHeight="1">
      <c r="B69" s="4"/>
      <c r="C69" s="1233"/>
      <c r="D69" s="1233"/>
      <c r="E69" s="1233"/>
      <c r="G69" s="1253"/>
      <c r="I69" s="376"/>
      <c r="K69" s="376"/>
      <c r="M69" s="1234"/>
      <c r="O69" s="4"/>
      <c r="P69" s="4"/>
    </row>
    <row r="70" spans="2:16" ht="66" customHeight="1">
      <c r="B70" s="4"/>
      <c r="C70" s="1233"/>
      <c r="D70" s="1255"/>
      <c r="E70" s="1233"/>
      <c r="G70" s="1156"/>
      <c r="I70" s="1157"/>
      <c r="K70" s="4"/>
      <c r="M70" s="1234"/>
      <c r="O70" s="4"/>
      <c r="P70" s="4"/>
    </row>
    <row r="71" spans="2:16" ht="61" customHeight="1">
      <c r="G71" s="1156"/>
      <c r="I71" s="1157"/>
    </row>
    <row r="72" spans="2:16" ht="59" customHeight="1">
      <c r="G72" s="1156"/>
      <c r="I72" s="1157"/>
    </row>
    <row r="73" spans="2:16" ht="57" customHeight="1">
      <c r="G73" s="1156"/>
      <c r="I73" s="1157"/>
    </row>
    <row r="74" spans="2:16" ht="57" customHeight="1">
      <c r="G74" s="1156"/>
      <c r="I74" s="1157"/>
    </row>
    <row r="75" spans="2:16" ht="60" customHeight="1">
      <c r="G75" s="1156"/>
      <c r="I75" s="1157"/>
    </row>
    <row r="76" spans="2:16" ht="60" customHeight="1">
      <c r="G76" s="1156"/>
      <c r="I76" s="1157"/>
    </row>
    <row r="77" spans="2:16" ht="69" customHeight="1">
      <c r="G77" s="1156"/>
      <c r="I77" s="1157"/>
    </row>
    <row r="78" spans="2:16" ht="20">
      <c r="G78" s="375"/>
    </row>
    <row r="79" spans="2:16" ht="20">
      <c r="G79" s="375"/>
    </row>
    <row r="80" spans="2:16" ht="20">
      <c r="G80" s="375"/>
    </row>
    <row r="81" spans="7:7" ht="20">
      <c r="G81" s="375"/>
    </row>
    <row r="82" spans="7:7" ht="20">
      <c r="G82" s="375"/>
    </row>
  </sheetData>
  <mergeCells count="17">
    <mergeCell ref="M61:M62"/>
    <mergeCell ref="C9:C15"/>
    <mergeCell ref="C22:C26"/>
    <mergeCell ref="C47:C50"/>
    <mergeCell ref="C35:C37"/>
    <mergeCell ref="C45:E45"/>
    <mergeCell ref="M22:M24"/>
    <mergeCell ref="M25:M27"/>
    <mergeCell ref="M9:M11"/>
    <mergeCell ref="M47:M48"/>
    <mergeCell ref="M12:M15"/>
    <mergeCell ref="C58:E58"/>
    <mergeCell ref="C6:E6"/>
    <mergeCell ref="C20:E20"/>
    <mergeCell ref="C32:E32"/>
    <mergeCell ref="G1:H1"/>
    <mergeCell ref="M49:M50"/>
  </mergeCells>
  <hyperlinks>
    <hyperlink ref="G9" location="MIXITE!A17:A51" display="MIXITE!A17:A51" xr:uid="{00000000-0004-0000-2000-000000000000}"/>
    <hyperlink ref="E61" location="'Articulation temps'!A1" display="'Articulation temps'!A1" xr:uid="{00000000-0004-0000-2000-00000C000000}"/>
    <hyperlink ref="G61" location="'Articulation temps'!A3:A67" display="'Articulation temps'!A3:A67" xr:uid="{00000000-0004-0000-2000-000014000000}"/>
    <hyperlink ref="I61" location="'Articulation temps'!A3:A67" display="'Articulation temps'!A3:A67" xr:uid="{00000000-0004-0000-2000-000015000000}"/>
    <hyperlink ref="G47" location="'Conditions de travail'!A16:A52" display="'Conditions de travail'!A16:A52" xr:uid="{00000000-0004-0000-2000-000028000000}"/>
    <hyperlink ref="G22" location="Parcours!A9:A49" display="Parcours!A9:A49" xr:uid="{00000000-0004-0000-2000-000031000000}"/>
    <hyperlink ref="G14" location="MIXITE!A217:A253" display="MIXITE!A217:A253" xr:uid="{2858AE4F-DC85-0E45-AA41-6340A77E3B31}"/>
    <hyperlink ref="G15" location="MIXITE!A257:A299" display="MIXITE!A257:A299" xr:uid="{490EB392-593B-AE48-9FC4-8056F70BF288}"/>
    <hyperlink ref="G11" location="MIXITE!A93:A131" display="MIXITE!A93:A131" xr:uid="{D0093E16-FABF-ED44-9BB5-260E3D403A06}"/>
    <hyperlink ref="G10" location="MIXITE!A54:A90" display="MIXITE!A54:A90" xr:uid="{D40D28C8-01F5-6F4E-AA7B-D963F0D569F2}"/>
    <hyperlink ref="G12" location="MIXITE!A134:A172" display="MIXITE!A134:A172" xr:uid="{2C21AE1B-A45F-7F41-AA45-5ECEC1883831}"/>
    <hyperlink ref="G13" location="MIXITE!A175:A213" display="MIXITE!A175:A213" xr:uid="{31D8F788-95BB-804A-B924-5467AFC9E4AE}"/>
    <hyperlink ref="I15" location="MIXITE!A257:A299" display="MIXITE!A257:A299" xr:uid="{4BD8CB83-87E2-794D-A634-F11564B4A100}"/>
    <hyperlink ref="I9" location="MIXITE!A17:A51" display="MIXITE!A17:A51" xr:uid="{A6EDC288-288A-4548-8D65-ADAA1316064A}"/>
    <hyperlink ref="I10" location="MIXITE!A54:A90" display="MIXITE!A54:A90" xr:uid="{68EBCD1C-FCB3-D04C-AA02-885F5C1F093E}"/>
    <hyperlink ref="I11" location="MIXITE!A93:A131" display="MIXITE!A93:A131" xr:uid="{F6B08443-FEDB-1C4F-92E8-654321E905FA}"/>
    <hyperlink ref="I12" location="MIXITE!A134:A172" display="MIXITE!A134:A172" xr:uid="{3EF21854-D0DB-C949-879D-00A994A55D36}"/>
    <hyperlink ref="I13" location="MIXITE!A175:A213" display="MIXITE!A175:A213" xr:uid="{81B87326-0E1A-1146-9555-DD8238619F0A}"/>
    <hyperlink ref="I14" location="MIXITE!A217:A253" display="MIXITE!A217:A253" xr:uid="{68D0732F-8830-F345-A900-8BDCE8C4EEA4}"/>
    <hyperlink ref="G23" location="Parcours!A92:A135" display="Parcours!A92:A135" xr:uid="{8092EA80-7680-6C43-81A4-C0EA070F9BED}"/>
    <hyperlink ref="G24" location="Parcours!A92:A135" display="Parcours!A92:A135" xr:uid="{A2859359-2328-0647-A707-CBAB3A5C3281}"/>
    <hyperlink ref="G25" location="Parcours!A139:A177" display="Parcours!A139:A177" xr:uid="{77C4A011-8A69-024A-82A4-07495EC12A68}"/>
    <hyperlink ref="G27" location="Parcours!A230:A299" display="Parcours!A230:A299" xr:uid="{0A7457D0-FA3E-AB4B-80DF-DFDD0C683ED8}"/>
    <hyperlink ref="G26" location="Parcours!A181:A226" display="Parcours!A181:A226" xr:uid="{CD764C84-AA30-E547-8241-0DF9427E27B4}"/>
    <hyperlink ref="I22" location="Parcours!A9:A49" display="Parcours!A9:A49" xr:uid="{E69C3972-2B5B-3643-A918-EE7BA69AF586}"/>
    <hyperlink ref="I23" location="Parcours!A92:A135" display="Parcours!A92:A135" xr:uid="{F8C1EE08-4457-0F4E-A132-81E023D422C0}"/>
    <hyperlink ref="I24" location="Parcours!A92:A135" display="Parcours!A92:A135" xr:uid="{BA43A876-A810-CD4D-8E6B-09CE91514A50}"/>
    <hyperlink ref="I25" location="Parcours!A139:A177" display="Parcours!A139:A177" xr:uid="{599D0981-DF5F-7A4C-B174-C4ABCC6089E4}"/>
    <hyperlink ref="I27" location="Parcours!A230:A299" display="Parcours!A230:A299" xr:uid="{433DB4FB-D308-FD4F-89EC-E4B21AEA66BD}"/>
    <hyperlink ref="I26" location="Parcours!A181:A226" display="Parcours!A181:A226" xr:uid="{F1555E9E-394F-F749-97D7-B0931D2867EF}"/>
    <hyperlink ref="G48:G50" location="'Conditions de travail'!A16:A52" display="'Conditions de travail'!A16:A52" xr:uid="{C960D737-425F-9242-AA84-7D801AA2B8A8}"/>
    <hyperlink ref="G48" location="'Conditions de travail'!A56:A88" display="'Conditions de travail'!A56:A88" xr:uid="{ED0D1021-6E1F-194C-8BCC-3EA967106F68}"/>
    <hyperlink ref="G49" location="'Conditions de travail'!A93:A137" display="'Conditions de travail'!A93:A137" xr:uid="{C269E39B-BBBC-6248-B7F2-7FBD33FF75C6}"/>
    <hyperlink ref="G50" location="'Conditions de travail'!A141:A198" display="'Conditions de travail'!A141:A198" xr:uid="{B95FC46F-5D78-914F-B51E-61C38EB52C38}"/>
    <hyperlink ref="I47" location="'Conditions de travail'!A16:A52" display="'Conditions de travail'!A16:A52" xr:uid="{21B2E504-D768-F941-B255-857389A3BCAF}"/>
    <hyperlink ref="I48:I50" location="'Conditions de travail'!A16:A52" display="'Conditions de travail'!A16:A52" xr:uid="{6BA4CAE8-01D6-284F-B78B-5D9C1F68E32F}"/>
    <hyperlink ref="I48" location="'Conditions de travail'!A56:A88" display="'Conditions de travail'!A56:A88" xr:uid="{FFE9860B-F0B4-9E41-87AE-D68CD6445DF3}"/>
    <hyperlink ref="I49" location="'Conditions de travail'!A93:A137" display="'Conditions de travail'!A93:A137" xr:uid="{FFFC5462-015F-AD4E-8442-D99F534C74BD}"/>
    <hyperlink ref="I50" location="'Conditions de travail'!A141:A198" display="'Conditions de travail'!A141:A198" xr:uid="{55166896-5835-0648-830A-B39B2BC178C0}"/>
    <hyperlink ref="G36" location="Parcours!A92:A135" display="Parcours!A92:A135" xr:uid="{FAB460B8-AC75-1F4D-9B6A-592B2EF4E22F}"/>
    <hyperlink ref="G37" location="Parcours!A139:A177" display="Parcours!A139:A177" xr:uid="{93D3C88E-22D1-3F44-B49F-5A7400A3A3A1}"/>
    <hyperlink ref="G38" location="Parcours!A181:A226" display="Parcours!A181:A226" xr:uid="{7C2630EF-27C0-6B49-BB73-F2A82FBAD26E}"/>
    <hyperlink ref="I35" location="Parcours!A92:A135" display="Parcours!A92:A135" xr:uid="{5B254A51-D2CA-C341-B967-B326A93323A0}"/>
    <hyperlink ref="I36" location="Parcours!A92:A135" display="Parcours!A92:A135" xr:uid="{EDCD8163-5B7C-4945-99D6-CA9DF3E5D61D}"/>
    <hyperlink ref="I37" location="Parcours!A139:A177" display="Parcours!A139:A177" xr:uid="{041571A7-F789-E144-BE6A-C32B5EC4B888}"/>
    <hyperlink ref="I38" location="Parcours!A181:A226" display="Parcours!A181:A226" xr:uid="{D47040EA-456D-ED4C-ABA9-6DC80BF6BF80}"/>
    <hyperlink ref="G1" location="'Bilan EGALIZ'!A1" display="BILAN EGALIZ" xr:uid="{A2BFD186-4DFB-0C4F-B426-21D0CDCF3C3C}"/>
    <hyperlink ref="G1:H1" location="SOMMAIRE!A1" display="SOMMAIRE" xr:uid="{70D8B929-7F04-A748-8C98-A34D8D8F3177}"/>
    <hyperlink ref="C6:E6" location="MIXITE!A1" display="MIXITE" xr:uid="{FDF98917-EE8E-3245-86EE-8BD2B24EC4A3}"/>
    <hyperlink ref="C20:E20" location="PARCOURS!A1" display="PARCOURS" xr:uid="{A041AB71-BD05-C643-8DA9-05DADAB9B26A}"/>
    <hyperlink ref="C45:E45" location="'CONDITIONS TRAVAIL'!A1" display="CONDITIONS DE TRAVAIL" xr:uid="{00AFE961-FA69-F04B-9861-181BD284A5B8}"/>
    <hyperlink ref="C58:E58" location="'ARTICULATION TEMPS'!A1" display="ARTICULATION TEMPS" xr:uid="{439479EA-41AD-1A47-A357-FE70C1A6B6F5}"/>
  </hyperlinks>
  <pageMargins left="0.7" right="0.7" top="0.75" bottom="0.75" header="0.3" footer="0.3"/>
  <pageSetup paperSize="9" orientation="portrait" horizontalDpi="0" verticalDpi="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theme="9" tint="-0.249977111117893"/>
    <pageSetUpPr fitToPage="1"/>
  </sheetPr>
  <dimension ref="A1:Z65"/>
  <sheetViews>
    <sheetView showGridLines="0" workbookViewId="0">
      <selection activeCell="C1" sqref="C1"/>
    </sheetView>
  </sheetViews>
  <sheetFormatPr baseColWidth="10" defaultColWidth="11.83203125" defaultRowHeight="14"/>
  <cols>
    <col min="1" max="1" width="7" style="124" customWidth="1"/>
    <col min="2" max="2" width="3.6640625" style="44" customWidth="1"/>
    <col min="3" max="7" width="58.5" style="46" customWidth="1"/>
    <col min="8" max="11" width="7" style="46" customWidth="1"/>
    <col min="12" max="12" width="17.6640625" style="46" customWidth="1"/>
    <col min="13" max="14" width="10.1640625" style="46" customWidth="1"/>
    <col min="15" max="15" width="13" style="46" customWidth="1"/>
    <col min="16" max="20" width="6.6640625" style="46" customWidth="1"/>
    <col min="21" max="21" width="5.1640625" style="46" customWidth="1"/>
    <col min="22" max="22" width="17.6640625" style="46" customWidth="1"/>
    <col min="23" max="24" width="10.1640625" style="46" customWidth="1"/>
    <col min="25" max="25" width="13" style="46" customWidth="1"/>
    <col min="26" max="16384" width="11.83203125" style="46"/>
  </cols>
  <sheetData>
    <row r="1" spans="1:26" s="124" customFormat="1" ht="72.75" customHeight="1">
      <c r="A1" s="123"/>
      <c r="C1" s="1167" t="s">
        <v>980</v>
      </c>
      <c r="D1" s="1166"/>
      <c r="G1" s="1286" t="s">
        <v>382</v>
      </c>
      <c r="H1" s="1286"/>
    </row>
    <row r="2" spans="1:26" s="44" customFormat="1">
      <c r="A2" s="124"/>
      <c r="B2" s="45"/>
    </row>
    <row r="3" spans="1:26" s="235" customFormat="1" ht="19" thickBot="1">
      <c r="A3" s="124"/>
      <c r="B3" s="233"/>
      <c r="C3" s="207"/>
      <c r="D3" s="234"/>
      <c r="E3" s="234"/>
      <c r="F3" s="234"/>
      <c r="G3" s="234"/>
      <c r="H3" s="234"/>
      <c r="I3" s="234"/>
      <c r="J3" s="234"/>
      <c r="K3" s="234"/>
      <c r="L3" s="234"/>
      <c r="M3" s="234"/>
      <c r="N3" s="234"/>
      <c r="O3" s="234"/>
      <c r="P3" s="234"/>
      <c r="Q3" s="234"/>
      <c r="R3" s="234"/>
      <c r="S3" s="234"/>
      <c r="T3" s="234"/>
      <c r="U3" s="234"/>
      <c r="V3" s="234"/>
      <c r="W3" s="234"/>
      <c r="X3" s="234"/>
      <c r="Y3" s="234"/>
    </row>
    <row r="4" spans="1:26" s="47" customFormat="1" ht="15.75" customHeight="1">
      <c r="A4" s="124"/>
      <c r="B4" s="48"/>
      <c r="C4" s="1515" t="s">
        <v>158</v>
      </c>
      <c r="D4" s="1516"/>
      <c r="E4" s="1516"/>
      <c r="F4" s="1516"/>
      <c r="G4" s="1517"/>
      <c r="H4" s="46"/>
      <c r="I4" s="46"/>
      <c r="J4" s="46"/>
      <c r="K4" s="46"/>
      <c r="L4" s="46"/>
      <c r="M4" s="46"/>
      <c r="N4" s="46"/>
      <c r="O4" s="46"/>
      <c r="P4" s="46"/>
      <c r="Q4" s="46"/>
      <c r="R4" s="46"/>
      <c r="S4" s="46"/>
      <c r="T4" s="46"/>
      <c r="U4" s="46"/>
      <c r="V4" s="46"/>
      <c r="W4" s="46"/>
      <c r="X4" s="46"/>
      <c r="Y4" s="46"/>
      <c r="Z4" s="46"/>
    </row>
    <row r="5" spans="1:26" s="47" customFormat="1" ht="15.75" customHeight="1">
      <c r="A5" s="124"/>
      <c r="B5" s="48"/>
      <c r="C5" s="1518" t="s">
        <v>448</v>
      </c>
      <c r="D5" s="1519"/>
      <c r="E5" s="1519"/>
      <c r="F5" s="1519"/>
      <c r="G5" s="1520"/>
      <c r="H5" s="46"/>
      <c r="I5" s="46"/>
      <c r="J5" s="46"/>
      <c r="K5" s="46"/>
      <c r="L5" s="46"/>
      <c r="M5" s="46"/>
      <c r="N5" s="46"/>
      <c r="O5" s="46"/>
      <c r="P5" s="46"/>
      <c r="Q5" s="46"/>
      <c r="R5" s="46"/>
      <c r="S5" s="46"/>
      <c r="T5" s="46"/>
      <c r="U5" s="46"/>
      <c r="V5" s="46"/>
      <c r="W5" s="46"/>
      <c r="X5" s="46"/>
      <c r="Y5" s="46"/>
      <c r="Z5" s="46"/>
    </row>
    <row r="6" spans="1:26" s="47" customFormat="1" ht="17" thickBot="1">
      <c r="A6" s="124"/>
      <c r="B6" s="48"/>
      <c r="C6" s="1521"/>
      <c r="D6" s="1522"/>
      <c r="E6" s="1522"/>
      <c r="F6" s="1522"/>
      <c r="G6" s="1523"/>
      <c r="H6" s="46"/>
      <c r="I6" s="46"/>
      <c r="J6" s="46"/>
      <c r="K6" s="46"/>
      <c r="L6" s="46"/>
      <c r="M6" s="46"/>
      <c r="N6" s="46"/>
      <c r="O6" s="46"/>
      <c r="P6" s="46"/>
      <c r="Q6" s="46"/>
      <c r="R6" s="46"/>
      <c r="S6" s="46"/>
      <c r="T6" s="46"/>
      <c r="U6" s="46"/>
      <c r="V6" s="46"/>
      <c r="W6" s="46"/>
      <c r="X6" s="46"/>
      <c r="Y6" s="46"/>
      <c r="Z6" s="46"/>
    </row>
    <row r="7" spans="1:26" s="47" customFormat="1" ht="69" customHeight="1">
      <c r="A7" s="124"/>
      <c r="B7" s="44"/>
      <c r="C7" s="1524"/>
      <c r="D7" s="1524" t="s">
        <v>159</v>
      </c>
      <c r="E7" s="1524" t="s">
        <v>160</v>
      </c>
      <c r="F7" s="1524" t="s">
        <v>161</v>
      </c>
      <c r="G7" s="1526" t="s">
        <v>162</v>
      </c>
      <c r="H7" s="46"/>
      <c r="I7" s="46"/>
      <c r="J7" s="46"/>
      <c r="K7" s="46"/>
      <c r="L7" s="46"/>
      <c r="M7" s="46"/>
      <c r="N7" s="46"/>
      <c r="O7" s="46"/>
      <c r="P7" s="46"/>
      <c r="Q7" s="46"/>
      <c r="R7" s="46"/>
      <c r="S7" s="46"/>
      <c r="T7" s="46"/>
      <c r="U7" s="46"/>
      <c r="V7" s="46"/>
      <c r="W7" s="46"/>
      <c r="X7" s="46"/>
      <c r="Y7" s="46"/>
      <c r="Z7" s="46"/>
    </row>
    <row r="8" spans="1:26" s="47" customFormat="1" ht="15" thickBot="1">
      <c r="A8" s="124"/>
      <c r="B8" s="44"/>
      <c r="C8" s="1525"/>
      <c r="D8" s="1525"/>
      <c r="E8" s="1525"/>
      <c r="F8" s="1525"/>
      <c r="G8" s="1527"/>
      <c r="H8" s="46"/>
      <c r="I8" s="46"/>
      <c r="J8" s="46"/>
      <c r="K8" s="46"/>
      <c r="L8" s="46"/>
      <c r="M8" s="46"/>
      <c r="N8" s="46"/>
      <c r="O8" s="46"/>
      <c r="P8" s="46"/>
      <c r="Q8" s="46"/>
      <c r="R8" s="46"/>
      <c r="S8" s="46"/>
      <c r="T8" s="46"/>
      <c r="U8" s="46"/>
      <c r="V8" s="46"/>
      <c r="W8" s="46"/>
      <c r="X8" s="46"/>
      <c r="Y8" s="46"/>
      <c r="Z8" s="46"/>
    </row>
    <row r="9" spans="1:26" s="47" customFormat="1" ht="17" thickBot="1">
      <c r="A9" s="124"/>
      <c r="B9" s="44"/>
      <c r="C9" s="1509" t="s">
        <v>152</v>
      </c>
      <c r="D9" s="1510"/>
      <c r="E9" s="1510"/>
      <c r="F9" s="1510"/>
      <c r="G9" s="1511"/>
      <c r="H9" s="46"/>
      <c r="I9" s="46"/>
      <c r="J9" s="46"/>
      <c r="K9" s="46"/>
      <c r="L9" s="46"/>
      <c r="M9" s="46"/>
      <c r="N9" s="46"/>
      <c r="O9" s="46"/>
      <c r="P9" s="46"/>
      <c r="Q9" s="46"/>
      <c r="R9" s="46"/>
      <c r="S9" s="46"/>
      <c r="T9" s="46"/>
      <c r="U9" s="46"/>
      <c r="V9" s="46"/>
      <c r="W9" s="46"/>
      <c r="X9" s="46"/>
      <c r="Y9" s="46"/>
      <c r="Z9" s="46"/>
    </row>
    <row r="10" spans="1:26" s="47" customFormat="1" ht="17">
      <c r="A10" s="124"/>
      <c r="B10" s="44"/>
      <c r="C10" s="66" t="s">
        <v>206</v>
      </c>
      <c r="D10" s="1512" t="s">
        <v>208</v>
      </c>
      <c r="E10" s="1512"/>
      <c r="F10" s="1512" t="s">
        <v>207</v>
      </c>
      <c r="G10" s="1512"/>
      <c r="H10" s="46"/>
      <c r="I10" s="46"/>
      <c r="J10" s="46"/>
      <c r="K10" s="46"/>
      <c r="L10" s="46"/>
      <c r="M10" s="46"/>
      <c r="N10" s="46"/>
      <c r="O10" s="46"/>
      <c r="P10" s="46"/>
      <c r="Q10" s="46"/>
      <c r="R10" s="46"/>
      <c r="S10" s="46"/>
      <c r="T10" s="46"/>
      <c r="U10" s="46"/>
      <c r="V10" s="46"/>
      <c r="W10" s="46"/>
      <c r="X10" s="46"/>
      <c r="Y10" s="46"/>
      <c r="Z10" s="46"/>
    </row>
    <row r="11" spans="1:26" s="47" customFormat="1" ht="16">
      <c r="A11" s="124"/>
      <c r="B11" s="44"/>
      <c r="C11" s="66"/>
      <c r="D11" s="1513"/>
      <c r="E11" s="1513"/>
      <c r="F11" s="1513"/>
      <c r="G11" s="1513"/>
      <c r="H11" s="46"/>
      <c r="I11" s="46"/>
      <c r="J11" s="46"/>
      <c r="K11" s="46"/>
      <c r="L11" s="46"/>
      <c r="M11" s="46"/>
      <c r="N11" s="46"/>
      <c r="O11" s="46"/>
      <c r="P11" s="46"/>
      <c r="Q11" s="46"/>
      <c r="R11" s="46"/>
      <c r="S11" s="46"/>
      <c r="T11" s="46"/>
      <c r="U11" s="46"/>
      <c r="V11" s="46"/>
      <c r="W11" s="46"/>
      <c r="X11" s="46"/>
      <c r="Y11" s="46"/>
      <c r="Z11" s="46"/>
    </row>
    <row r="12" spans="1:26" s="47" customFormat="1" ht="16">
      <c r="A12" s="124"/>
      <c r="B12" s="44"/>
      <c r="C12" s="66"/>
      <c r="D12" s="1513"/>
      <c r="E12" s="1513"/>
      <c r="F12" s="1513"/>
      <c r="G12" s="1513"/>
      <c r="H12" s="46"/>
      <c r="I12" s="46"/>
      <c r="J12" s="46"/>
      <c r="K12" s="46"/>
      <c r="L12" s="46"/>
      <c r="M12" s="46"/>
      <c r="N12" s="46"/>
      <c r="O12" s="46"/>
      <c r="P12" s="46"/>
      <c r="Q12" s="46"/>
      <c r="R12" s="46"/>
      <c r="S12" s="46"/>
      <c r="T12" s="46"/>
      <c r="U12" s="46"/>
      <c r="V12" s="46"/>
      <c r="W12" s="46"/>
      <c r="X12" s="46"/>
      <c r="Y12" s="46"/>
      <c r="Z12" s="46"/>
    </row>
    <row r="13" spans="1:26" s="47" customFormat="1" ht="16">
      <c r="A13" s="124"/>
      <c r="B13" s="44"/>
      <c r="C13" s="66"/>
      <c r="D13" s="1513"/>
      <c r="E13" s="1513"/>
      <c r="F13" s="1513"/>
      <c r="G13" s="1513"/>
      <c r="H13" s="46"/>
      <c r="I13" s="46"/>
      <c r="J13" s="46"/>
      <c r="K13" s="46"/>
      <c r="L13" s="46"/>
      <c r="M13" s="46"/>
      <c r="N13" s="46"/>
      <c r="O13" s="46"/>
      <c r="P13" s="46"/>
      <c r="Q13" s="46"/>
      <c r="R13" s="46"/>
      <c r="S13" s="46"/>
      <c r="T13" s="46"/>
      <c r="U13" s="46"/>
      <c r="V13" s="46"/>
      <c r="W13" s="46"/>
      <c r="X13" s="46"/>
      <c r="Y13" s="46"/>
      <c r="Z13" s="46"/>
    </row>
    <row r="14" spans="1:26" s="47" customFormat="1" ht="16">
      <c r="A14" s="124"/>
      <c r="B14" s="44"/>
      <c r="C14" s="66"/>
      <c r="D14" s="1513"/>
      <c r="E14" s="1513"/>
      <c r="F14" s="1513"/>
      <c r="G14" s="1513"/>
      <c r="H14" s="46"/>
      <c r="I14" s="46"/>
      <c r="J14" s="46"/>
      <c r="K14" s="46"/>
      <c r="L14" s="46"/>
      <c r="M14" s="46"/>
      <c r="N14" s="46"/>
      <c r="O14" s="46"/>
      <c r="P14" s="46"/>
      <c r="Q14" s="46"/>
      <c r="R14" s="46"/>
      <c r="S14" s="46"/>
      <c r="T14" s="46"/>
      <c r="U14" s="46"/>
      <c r="V14" s="46"/>
      <c r="W14" s="46"/>
      <c r="X14" s="46"/>
      <c r="Y14" s="46"/>
      <c r="Z14" s="46"/>
    </row>
    <row r="15" spans="1:26" s="47" customFormat="1" ht="17" thickBot="1">
      <c r="A15" s="124"/>
      <c r="B15" s="44"/>
      <c r="C15" s="67"/>
      <c r="D15" s="1514"/>
      <c r="E15" s="1514"/>
      <c r="F15" s="1514"/>
      <c r="G15" s="1514"/>
      <c r="H15" s="46"/>
      <c r="I15" s="46"/>
      <c r="J15" s="46"/>
      <c r="K15" s="46"/>
      <c r="L15" s="46"/>
      <c r="M15" s="46"/>
      <c r="N15" s="46"/>
      <c r="O15" s="46"/>
      <c r="P15" s="46"/>
      <c r="Q15" s="46"/>
      <c r="R15" s="46"/>
      <c r="S15" s="46"/>
      <c r="T15" s="46"/>
      <c r="U15" s="46"/>
      <c r="V15" s="46"/>
      <c r="W15" s="46"/>
      <c r="X15" s="46"/>
      <c r="Y15" s="46"/>
      <c r="Z15" s="46"/>
    </row>
    <row r="16" spans="1:26" s="47" customFormat="1" ht="17" thickBot="1">
      <c r="A16" s="124"/>
      <c r="B16" s="44"/>
      <c r="C16" s="1509" t="s">
        <v>153</v>
      </c>
      <c r="D16" s="1510"/>
      <c r="E16" s="1510"/>
      <c r="F16" s="1510"/>
      <c r="G16" s="1511"/>
      <c r="H16" s="46"/>
      <c r="I16" s="46"/>
      <c r="J16" s="46"/>
      <c r="K16" s="46"/>
      <c r="L16" s="46"/>
      <c r="M16" s="46"/>
      <c r="N16" s="46"/>
      <c r="O16" s="46"/>
      <c r="P16" s="46"/>
      <c r="Q16" s="46"/>
      <c r="R16" s="46"/>
      <c r="S16" s="46"/>
      <c r="T16" s="46"/>
      <c r="U16" s="46"/>
      <c r="V16" s="46"/>
      <c r="W16" s="46"/>
      <c r="X16" s="46"/>
      <c r="Y16" s="46"/>
      <c r="Z16" s="46"/>
    </row>
    <row r="17" spans="1:26" s="47" customFormat="1">
      <c r="A17" s="124"/>
      <c r="B17" s="44"/>
      <c r="C17" s="1512"/>
      <c r="D17" s="1512"/>
      <c r="E17" s="1512"/>
      <c r="F17" s="1512"/>
      <c r="G17" s="1512"/>
      <c r="H17" s="46"/>
      <c r="I17" s="46"/>
      <c r="J17" s="46"/>
      <c r="K17" s="46"/>
      <c r="L17" s="46"/>
      <c r="M17" s="46"/>
      <c r="N17" s="46"/>
      <c r="O17" s="46"/>
      <c r="P17" s="46"/>
      <c r="Q17" s="46"/>
      <c r="R17" s="46"/>
      <c r="S17" s="46"/>
      <c r="T17" s="46"/>
      <c r="U17" s="46"/>
      <c r="V17" s="46"/>
      <c r="W17" s="46"/>
      <c r="X17" s="46"/>
      <c r="Y17" s="46"/>
      <c r="Z17" s="46"/>
    </row>
    <row r="18" spans="1:26" s="47" customFormat="1">
      <c r="A18" s="124"/>
      <c r="B18" s="44"/>
      <c r="C18" s="1513"/>
      <c r="D18" s="1513"/>
      <c r="E18" s="1513"/>
      <c r="F18" s="1513"/>
      <c r="G18" s="1513"/>
      <c r="H18" s="46"/>
      <c r="I18" s="46"/>
      <c r="J18" s="46"/>
      <c r="K18" s="46"/>
      <c r="L18" s="46"/>
      <c r="M18" s="46"/>
      <c r="N18" s="46"/>
      <c r="O18" s="46"/>
      <c r="P18" s="46"/>
      <c r="Q18" s="46"/>
      <c r="R18" s="46"/>
      <c r="S18" s="46"/>
      <c r="T18" s="46"/>
      <c r="U18" s="46"/>
      <c r="V18" s="46"/>
      <c r="W18" s="46"/>
      <c r="X18" s="46"/>
      <c r="Y18" s="46"/>
      <c r="Z18" s="46"/>
    </row>
    <row r="19" spans="1:26" s="47" customFormat="1">
      <c r="A19" s="124"/>
      <c r="B19" s="44"/>
      <c r="C19" s="1513"/>
      <c r="D19" s="1513"/>
      <c r="E19" s="1513"/>
      <c r="F19" s="1513"/>
      <c r="G19" s="1513"/>
      <c r="H19" s="46"/>
      <c r="I19" s="46"/>
      <c r="J19" s="46"/>
      <c r="K19" s="46"/>
      <c r="L19" s="46"/>
      <c r="M19" s="46"/>
      <c r="N19" s="46"/>
      <c r="O19" s="46"/>
      <c r="P19" s="46"/>
      <c r="Q19" s="46"/>
      <c r="R19" s="46"/>
      <c r="S19" s="46"/>
      <c r="T19" s="46"/>
      <c r="U19" s="46"/>
      <c r="V19" s="46"/>
      <c r="W19" s="46"/>
      <c r="X19" s="46"/>
      <c r="Y19" s="46"/>
      <c r="Z19" s="46"/>
    </row>
    <row r="20" spans="1:26" s="47" customFormat="1">
      <c r="A20" s="124"/>
      <c r="B20" s="44"/>
      <c r="C20" s="1513"/>
      <c r="D20" s="1513"/>
      <c r="E20" s="1513"/>
      <c r="F20" s="1513"/>
      <c r="G20" s="1513"/>
      <c r="H20" s="46"/>
      <c r="I20" s="46"/>
      <c r="J20" s="46"/>
      <c r="K20" s="46"/>
      <c r="L20" s="46"/>
      <c r="M20" s="46"/>
      <c r="N20" s="46"/>
      <c r="O20" s="46"/>
      <c r="P20" s="46"/>
      <c r="Q20" s="46"/>
      <c r="R20" s="46"/>
      <c r="S20" s="46"/>
      <c r="T20" s="46"/>
      <c r="U20" s="46"/>
      <c r="V20" s="46"/>
      <c r="W20" s="46"/>
      <c r="X20" s="46"/>
      <c r="Y20" s="46"/>
      <c r="Z20" s="46"/>
    </row>
    <row r="21" spans="1:26" s="47" customFormat="1" ht="15" thickBot="1">
      <c r="A21" s="124"/>
      <c r="B21" s="44"/>
      <c r="C21" s="1514"/>
      <c r="D21" s="1514"/>
      <c r="E21" s="1514"/>
      <c r="F21" s="1514"/>
      <c r="G21" s="1514"/>
      <c r="H21" s="46"/>
      <c r="I21" s="46"/>
      <c r="J21" s="46"/>
      <c r="K21" s="46"/>
      <c r="L21" s="46"/>
      <c r="M21" s="46"/>
      <c r="N21" s="46"/>
      <c r="O21" s="46"/>
      <c r="P21" s="46"/>
      <c r="Q21" s="46"/>
      <c r="R21" s="46"/>
      <c r="S21" s="46"/>
      <c r="T21" s="46"/>
      <c r="U21" s="46"/>
      <c r="V21" s="46"/>
      <c r="W21" s="46"/>
      <c r="X21" s="46"/>
      <c r="Y21" s="46"/>
      <c r="Z21" s="46"/>
    </row>
    <row r="22" spans="1:26" s="47" customFormat="1" ht="17" thickBot="1">
      <c r="A22" s="124"/>
      <c r="B22" s="44"/>
      <c r="C22" s="1509" t="s">
        <v>154</v>
      </c>
      <c r="D22" s="1510"/>
      <c r="E22" s="1510"/>
      <c r="F22" s="1510"/>
      <c r="G22" s="1511"/>
      <c r="H22" s="46"/>
      <c r="I22" s="46"/>
      <c r="J22" s="46"/>
      <c r="K22" s="46"/>
      <c r="L22" s="46"/>
      <c r="M22" s="46"/>
      <c r="N22" s="46"/>
      <c r="O22" s="46"/>
      <c r="P22" s="46"/>
      <c r="Q22" s="46"/>
      <c r="R22" s="46"/>
      <c r="S22" s="46"/>
      <c r="T22" s="46"/>
      <c r="U22" s="46"/>
      <c r="V22" s="46"/>
      <c r="W22" s="46"/>
      <c r="X22" s="46"/>
      <c r="Y22" s="46"/>
      <c r="Z22" s="46"/>
    </row>
    <row r="23" spans="1:26" s="47" customFormat="1">
      <c r="A23" s="124"/>
      <c r="B23" s="44"/>
      <c r="C23" s="1512"/>
      <c r="D23" s="1512"/>
      <c r="E23" s="1512"/>
      <c r="F23" s="1512"/>
      <c r="G23" s="1512"/>
      <c r="H23" s="46"/>
      <c r="I23" s="46"/>
      <c r="J23" s="46"/>
      <c r="K23" s="46"/>
      <c r="L23" s="46"/>
      <c r="M23" s="46"/>
      <c r="N23" s="46"/>
      <c r="O23" s="46"/>
      <c r="P23" s="46"/>
      <c r="Q23" s="46"/>
      <c r="R23" s="46"/>
      <c r="S23" s="46"/>
      <c r="T23" s="46"/>
      <c r="U23" s="46"/>
      <c r="V23" s="46"/>
      <c r="W23" s="46"/>
      <c r="X23" s="46"/>
      <c r="Y23" s="46"/>
      <c r="Z23" s="46"/>
    </row>
    <row r="24" spans="1:26" s="47" customFormat="1">
      <c r="A24" s="124"/>
      <c r="B24" s="44"/>
      <c r="C24" s="1513"/>
      <c r="D24" s="1513"/>
      <c r="E24" s="1513"/>
      <c r="F24" s="1513"/>
      <c r="G24" s="1513"/>
      <c r="H24" s="46"/>
      <c r="I24" s="46"/>
      <c r="J24" s="46"/>
      <c r="K24" s="46"/>
      <c r="L24" s="46"/>
      <c r="M24" s="46"/>
      <c r="N24" s="46"/>
      <c r="O24" s="46"/>
      <c r="P24" s="46"/>
      <c r="Q24" s="46"/>
      <c r="R24" s="46"/>
      <c r="S24" s="46"/>
      <c r="T24" s="46"/>
      <c r="U24" s="46"/>
      <c r="V24" s="46"/>
      <c r="W24" s="46"/>
      <c r="X24" s="46"/>
      <c r="Y24" s="46"/>
      <c r="Z24" s="46"/>
    </row>
    <row r="25" spans="1:26" s="47" customFormat="1">
      <c r="A25" s="124"/>
      <c r="B25" s="44"/>
      <c r="C25" s="1513"/>
      <c r="D25" s="1513"/>
      <c r="E25" s="1513"/>
      <c r="F25" s="1513"/>
      <c r="G25" s="1513"/>
      <c r="H25" s="46"/>
      <c r="I25" s="46"/>
      <c r="J25" s="46"/>
      <c r="K25" s="46"/>
      <c r="L25" s="46"/>
      <c r="M25" s="46"/>
      <c r="N25" s="46"/>
      <c r="O25" s="46"/>
      <c r="P25" s="46"/>
      <c r="Q25" s="46"/>
      <c r="R25" s="46"/>
      <c r="S25" s="46"/>
      <c r="T25" s="46"/>
      <c r="U25" s="46"/>
      <c r="V25" s="46"/>
      <c r="W25" s="46"/>
      <c r="X25" s="46"/>
      <c r="Y25" s="46"/>
      <c r="Z25" s="46"/>
    </row>
    <row r="26" spans="1:26" s="47" customFormat="1">
      <c r="A26" s="124"/>
      <c r="B26" s="44"/>
      <c r="C26" s="1513"/>
      <c r="D26" s="1513"/>
      <c r="E26" s="1513"/>
      <c r="F26" s="1513"/>
      <c r="G26" s="1513"/>
      <c r="H26" s="46"/>
      <c r="I26" s="46"/>
      <c r="J26" s="46"/>
      <c r="K26" s="46"/>
      <c r="L26" s="46"/>
      <c r="M26" s="46"/>
      <c r="N26" s="46"/>
      <c r="O26" s="46"/>
      <c r="P26" s="46"/>
      <c r="Q26" s="46"/>
      <c r="R26" s="46"/>
      <c r="S26" s="46"/>
      <c r="T26" s="46"/>
      <c r="U26" s="46"/>
      <c r="V26" s="46"/>
      <c r="W26" s="46"/>
      <c r="X26" s="46"/>
      <c r="Y26" s="46"/>
      <c r="Z26" s="46"/>
    </row>
    <row r="27" spans="1:26" s="47" customFormat="1" ht="15" thickBot="1">
      <c r="A27" s="124"/>
      <c r="B27" s="44"/>
      <c r="C27" s="1514"/>
      <c r="D27" s="1514"/>
      <c r="E27" s="1514"/>
      <c r="F27" s="1514"/>
      <c r="G27" s="1514"/>
      <c r="H27" s="46"/>
      <c r="I27" s="46"/>
      <c r="J27" s="46"/>
      <c r="K27" s="46"/>
      <c r="L27" s="46"/>
      <c r="M27" s="46"/>
      <c r="N27" s="46"/>
      <c r="O27" s="46"/>
      <c r="P27" s="46"/>
      <c r="Q27" s="46"/>
      <c r="R27" s="46"/>
      <c r="S27" s="46"/>
      <c r="T27" s="46"/>
      <c r="U27" s="46"/>
      <c r="V27" s="46"/>
      <c r="W27" s="46"/>
      <c r="X27" s="46"/>
      <c r="Y27" s="46"/>
      <c r="Z27" s="46"/>
    </row>
    <row r="28" spans="1:26" s="47" customFormat="1" ht="17" thickBot="1">
      <c r="A28" s="124"/>
      <c r="B28" s="44"/>
      <c r="C28" s="1509" t="s">
        <v>155</v>
      </c>
      <c r="D28" s="1510"/>
      <c r="E28" s="1510"/>
      <c r="F28" s="1510"/>
      <c r="G28" s="1511"/>
      <c r="H28" s="46"/>
      <c r="I28" s="46"/>
      <c r="J28" s="46"/>
      <c r="K28" s="46"/>
      <c r="L28" s="46"/>
      <c r="M28" s="46"/>
      <c r="N28" s="46"/>
      <c r="O28" s="46"/>
      <c r="P28" s="46"/>
      <c r="Q28" s="46"/>
      <c r="R28" s="46"/>
      <c r="S28" s="46"/>
      <c r="T28" s="46"/>
      <c r="U28" s="46"/>
      <c r="V28" s="46"/>
      <c r="W28" s="46"/>
      <c r="X28" s="46"/>
      <c r="Y28" s="46"/>
      <c r="Z28" s="46"/>
    </row>
    <row r="29" spans="1:26" s="47" customFormat="1">
      <c r="A29" s="124"/>
      <c r="B29" s="44"/>
      <c r="C29" s="1512"/>
      <c r="D29" s="1512"/>
      <c r="E29" s="1512"/>
      <c r="F29" s="1512"/>
      <c r="G29" s="1512"/>
      <c r="H29" s="46"/>
      <c r="I29" s="46"/>
      <c r="J29" s="46"/>
      <c r="K29" s="46"/>
      <c r="L29" s="46"/>
      <c r="M29" s="46"/>
      <c r="N29" s="46"/>
      <c r="O29" s="46"/>
      <c r="P29" s="46"/>
      <c r="Q29" s="46"/>
      <c r="R29" s="46"/>
      <c r="S29" s="46"/>
      <c r="T29" s="46"/>
      <c r="U29" s="46"/>
      <c r="V29" s="46"/>
      <c r="W29" s="46"/>
      <c r="X29" s="46"/>
      <c r="Y29" s="46"/>
      <c r="Z29" s="46"/>
    </row>
    <row r="30" spans="1:26" s="47" customFormat="1">
      <c r="A30" s="124"/>
      <c r="B30" s="44"/>
      <c r="C30" s="1513"/>
      <c r="D30" s="1513"/>
      <c r="E30" s="1513"/>
      <c r="F30" s="1513"/>
      <c r="G30" s="1513"/>
      <c r="H30" s="46"/>
      <c r="I30" s="46"/>
      <c r="J30" s="46"/>
      <c r="K30" s="46"/>
      <c r="L30" s="46"/>
      <c r="M30" s="46"/>
      <c r="N30" s="46"/>
      <c r="O30" s="46"/>
      <c r="P30" s="46"/>
      <c r="Q30" s="46"/>
      <c r="R30" s="46"/>
      <c r="S30" s="46"/>
      <c r="T30" s="46"/>
      <c r="U30" s="46"/>
      <c r="V30" s="46"/>
      <c r="W30" s="46"/>
      <c r="X30" s="46"/>
      <c r="Y30" s="46"/>
      <c r="Z30" s="46"/>
    </row>
    <row r="31" spans="1:26" s="47" customFormat="1">
      <c r="A31" s="124"/>
      <c r="B31" s="44"/>
      <c r="C31" s="1513"/>
      <c r="D31" s="1513"/>
      <c r="E31" s="1513"/>
      <c r="F31" s="1513"/>
      <c r="G31" s="1513"/>
      <c r="H31" s="46"/>
      <c r="I31" s="46"/>
      <c r="J31" s="46"/>
      <c r="K31" s="46"/>
      <c r="L31" s="46"/>
      <c r="M31" s="46"/>
      <c r="N31" s="46"/>
      <c r="O31" s="46"/>
      <c r="P31" s="46"/>
      <c r="Q31" s="46"/>
      <c r="R31" s="46"/>
      <c r="S31" s="46"/>
      <c r="T31" s="46"/>
      <c r="U31" s="46"/>
      <c r="V31" s="46"/>
      <c r="W31" s="46"/>
      <c r="X31" s="46"/>
      <c r="Y31" s="46"/>
      <c r="Z31" s="46"/>
    </row>
    <row r="32" spans="1:26" s="47" customFormat="1">
      <c r="A32" s="124"/>
      <c r="B32" s="48"/>
      <c r="C32" s="1513"/>
      <c r="D32" s="1513"/>
      <c r="E32" s="1513"/>
      <c r="F32" s="1513"/>
      <c r="G32" s="1513"/>
      <c r="H32" s="46"/>
      <c r="I32" s="46"/>
      <c r="J32" s="46"/>
      <c r="K32" s="46"/>
      <c r="L32" s="46"/>
      <c r="M32" s="46"/>
      <c r="N32" s="46"/>
      <c r="O32" s="46"/>
      <c r="P32" s="46"/>
      <c r="Q32" s="46"/>
      <c r="R32" s="46"/>
      <c r="S32" s="46"/>
      <c r="T32" s="46"/>
      <c r="U32" s="46"/>
      <c r="V32" s="46"/>
      <c r="W32" s="46"/>
      <c r="X32" s="46"/>
      <c r="Y32" s="46"/>
      <c r="Z32" s="46"/>
    </row>
    <row r="33" spans="3:7" ht="15" thickBot="1">
      <c r="C33" s="1514"/>
      <c r="D33" s="1514"/>
      <c r="E33" s="1514"/>
      <c r="F33" s="1514"/>
      <c r="G33" s="1514"/>
    </row>
    <row r="34" spans="3:7" ht="17" thickBot="1">
      <c r="C34" s="1509" t="s">
        <v>156</v>
      </c>
      <c r="D34" s="1510"/>
      <c r="E34" s="1510"/>
      <c r="F34" s="1510"/>
      <c r="G34" s="1511"/>
    </row>
    <row r="35" spans="3:7">
      <c r="C35" s="1512"/>
      <c r="D35" s="1512"/>
      <c r="E35" s="1512"/>
      <c r="F35" s="1512"/>
      <c r="G35" s="1512"/>
    </row>
    <row r="36" spans="3:7">
      <c r="C36" s="1513"/>
      <c r="D36" s="1513"/>
      <c r="E36" s="1513"/>
      <c r="F36" s="1513"/>
      <c r="G36" s="1513"/>
    </row>
    <row r="37" spans="3:7">
      <c r="C37" s="1513"/>
      <c r="D37" s="1513"/>
      <c r="E37" s="1513"/>
      <c r="F37" s="1513"/>
      <c r="G37" s="1513"/>
    </row>
    <row r="38" spans="3:7">
      <c r="C38" s="1513"/>
      <c r="D38" s="1513"/>
      <c r="E38" s="1513"/>
      <c r="F38" s="1513"/>
      <c r="G38" s="1513"/>
    </row>
    <row r="39" spans="3:7" ht="15" thickBot="1">
      <c r="C39" s="1514"/>
      <c r="D39" s="1514"/>
      <c r="E39" s="1514"/>
      <c r="F39" s="1514"/>
      <c r="G39" s="1514"/>
    </row>
    <row r="40" spans="3:7" ht="17" thickBot="1">
      <c r="C40" s="1509" t="s">
        <v>157</v>
      </c>
      <c r="D40" s="1510"/>
      <c r="E40" s="1510"/>
      <c r="F40" s="1510"/>
      <c r="G40" s="1511"/>
    </row>
    <row r="41" spans="3:7">
      <c r="C41" s="1512"/>
      <c r="D41" s="1512"/>
      <c r="E41" s="1512"/>
      <c r="F41" s="1512"/>
      <c r="G41" s="1512"/>
    </row>
    <row r="42" spans="3:7">
      <c r="C42" s="1513"/>
      <c r="D42" s="1513"/>
      <c r="E42" s="1513"/>
      <c r="F42" s="1513"/>
      <c r="G42" s="1513"/>
    </row>
    <row r="43" spans="3:7">
      <c r="C43" s="1513"/>
      <c r="D43" s="1513"/>
      <c r="E43" s="1513"/>
      <c r="F43" s="1513"/>
      <c r="G43" s="1513"/>
    </row>
    <row r="44" spans="3:7">
      <c r="C44" s="1513"/>
      <c r="D44" s="1513"/>
      <c r="E44" s="1513"/>
      <c r="F44" s="1513"/>
      <c r="G44" s="1513"/>
    </row>
    <row r="45" spans="3:7" ht="15" thickBot="1">
      <c r="C45" s="1514"/>
      <c r="D45" s="1514"/>
      <c r="E45" s="1514"/>
      <c r="F45" s="1514"/>
      <c r="G45" s="1514"/>
    </row>
    <row r="46" spans="3:7" ht="17" thickBot="1">
      <c r="C46" s="1509" t="s">
        <v>233</v>
      </c>
      <c r="D46" s="1510"/>
      <c r="E46" s="1510"/>
      <c r="F46" s="1510"/>
      <c r="G46" s="1511"/>
    </row>
    <row r="47" spans="3:7">
      <c r="C47" s="1512"/>
      <c r="D47" s="1512"/>
      <c r="E47" s="1512"/>
      <c r="F47" s="1512"/>
      <c r="G47" s="1512"/>
    </row>
    <row r="48" spans="3:7">
      <c r="C48" s="1513"/>
      <c r="D48" s="1513"/>
      <c r="E48" s="1513"/>
      <c r="F48" s="1513"/>
      <c r="G48" s="1513"/>
    </row>
    <row r="49" spans="3:7">
      <c r="C49" s="1513"/>
      <c r="D49" s="1513"/>
      <c r="E49" s="1513"/>
      <c r="F49" s="1513"/>
      <c r="G49" s="1513"/>
    </row>
    <row r="50" spans="3:7">
      <c r="C50" s="1513"/>
      <c r="D50" s="1513"/>
      <c r="E50" s="1513"/>
      <c r="F50" s="1513"/>
      <c r="G50" s="1513"/>
    </row>
    <row r="51" spans="3:7" ht="15" thickBot="1">
      <c r="C51" s="1514"/>
      <c r="D51" s="1514"/>
      <c r="E51" s="1514"/>
      <c r="F51" s="1514"/>
      <c r="G51" s="1514"/>
    </row>
    <row r="52" spans="3:7" ht="17" thickBot="1">
      <c r="C52" s="1509" t="s">
        <v>209</v>
      </c>
      <c r="D52" s="1510"/>
      <c r="E52" s="1510"/>
      <c r="F52" s="1510"/>
      <c r="G52" s="1511"/>
    </row>
    <row r="53" spans="3:7">
      <c r="C53" s="1512"/>
      <c r="D53" s="1512"/>
      <c r="E53" s="1512"/>
      <c r="F53" s="1512"/>
      <c r="G53" s="1512"/>
    </row>
    <row r="54" spans="3:7">
      <c r="C54" s="1513"/>
      <c r="D54" s="1513"/>
      <c r="E54" s="1513"/>
      <c r="F54" s="1513"/>
      <c r="G54" s="1513"/>
    </row>
    <row r="55" spans="3:7">
      <c r="C55" s="1513"/>
      <c r="D55" s="1513"/>
      <c r="E55" s="1513"/>
      <c r="F55" s="1513"/>
      <c r="G55" s="1513"/>
    </row>
    <row r="56" spans="3:7">
      <c r="C56" s="1513"/>
      <c r="D56" s="1513"/>
      <c r="E56" s="1513"/>
      <c r="F56" s="1513"/>
      <c r="G56" s="1513"/>
    </row>
    <row r="57" spans="3:7" ht="15" thickBot="1">
      <c r="C57" s="1514"/>
      <c r="D57" s="1514"/>
      <c r="E57" s="1514"/>
      <c r="F57" s="1514"/>
      <c r="G57" s="1514"/>
    </row>
    <row r="58" spans="3:7" ht="17" thickBot="1">
      <c r="C58" s="1509" t="s">
        <v>210</v>
      </c>
      <c r="D58" s="1510"/>
      <c r="E58" s="1510"/>
      <c r="F58" s="1510"/>
      <c r="G58" s="1511"/>
    </row>
    <row r="59" spans="3:7">
      <c r="C59" s="1512"/>
      <c r="D59" s="1512"/>
      <c r="E59" s="1512"/>
      <c r="F59" s="1512"/>
      <c r="G59" s="1512"/>
    </row>
    <row r="60" spans="3:7">
      <c r="C60" s="1513"/>
      <c r="D60" s="1513"/>
      <c r="E60" s="1513"/>
      <c r="F60" s="1513"/>
      <c r="G60" s="1513"/>
    </row>
    <row r="61" spans="3:7">
      <c r="C61" s="1513"/>
      <c r="D61" s="1513"/>
      <c r="E61" s="1513"/>
      <c r="F61" s="1513"/>
      <c r="G61" s="1513"/>
    </row>
    <row r="62" spans="3:7">
      <c r="C62" s="1513"/>
      <c r="D62" s="1513"/>
      <c r="E62" s="1513"/>
      <c r="F62" s="1513"/>
      <c r="G62" s="1513"/>
    </row>
    <row r="63" spans="3:7" ht="15" thickBot="1">
      <c r="C63" s="1514"/>
      <c r="D63" s="1514"/>
      <c r="E63" s="1514"/>
      <c r="F63" s="1514"/>
      <c r="G63" s="1514"/>
    </row>
    <row r="64" spans="3:7" ht="16">
      <c r="C64" s="68"/>
      <c r="D64" s="1"/>
      <c r="E64" s="1"/>
      <c r="F64" s="1"/>
      <c r="G64" s="1"/>
    </row>
    <row r="65" spans="3:7" ht="16">
      <c r="C65" s="68"/>
      <c r="D65" s="1"/>
      <c r="E65" s="1"/>
      <c r="F65" s="1"/>
      <c r="G65" s="1"/>
    </row>
  </sheetData>
  <mergeCells count="62">
    <mergeCell ref="C58:G58"/>
    <mergeCell ref="C59:C63"/>
    <mergeCell ref="D59:D63"/>
    <mergeCell ref="E59:E63"/>
    <mergeCell ref="F59:F63"/>
    <mergeCell ref="G59:G63"/>
    <mergeCell ref="C46:G46"/>
    <mergeCell ref="C47:C51"/>
    <mergeCell ref="D47:D51"/>
    <mergeCell ref="E47:E51"/>
    <mergeCell ref="F47:F51"/>
    <mergeCell ref="G47:G51"/>
    <mergeCell ref="C40:G40"/>
    <mergeCell ref="C41:C45"/>
    <mergeCell ref="D41:D45"/>
    <mergeCell ref="E41:E45"/>
    <mergeCell ref="F41:F45"/>
    <mergeCell ref="G41:G45"/>
    <mergeCell ref="C34:G34"/>
    <mergeCell ref="C35:C39"/>
    <mergeCell ref="D35:D39"/>
    <mergeCell ref="E35:E39"/>
    <mergeCell ref="F35:F39"/>
    <mergeCell ref="G35:G39"/>
    <mergeCell ref="C28:G28"/>
    <mergeCell ref="C29:C33"/>
    <mergeCell ref="D29:D33"/>
    <mergeCell ref="E29:E33"/>
    <mergeCell ref="F29:F33"/>
    <mergeCell ref="G29:G33"/>
    <mergeCell ref="C22:G22"/>
    <mergeCell ref="C23:C27"/>
    <mergeCell ref="D23:D27"/>
    <mergeCell ref="E23:E27"/>
    <mergeCell ref="F23:F27"/>
    <mergeCell ref="G23:G27"/>
    <mergeCell ref="C17:C21"/>
    <mergeCell ref="D17:D21"/>
    <mergeCell ref="E17:E21"/>
    <mergeCell ref="F17:F21"/>
    <mergeCell ref="G17:G21"/>
    <mergeCell ref="D10:D15"/>
    <mergeCell ref="E10:E15"/>
    <mergeCell ref="F10:F15"/>
    <mergeCell ref="G10:G15"/>
    <mergeCell ref="C16:G16"/>
    <mergeCell ref="G1:H1"/>
    <mergeCell ref="C52:G52"/>
    <mergeCell ref="C53:C57"/>
    <mergeCell ref="D53:D57"/>
    <mergeCell ref="E53:E57"/>
    <mergeCell ref="F53:F57"/>
    <mergeCell ref="G53:G57"/>
    <mergeCell ref="C9:G9"/>
    <mergeCell ref="C4:G4"/>
    <mergeCell ref="C5:G5"/>
    <mergeCell ref="C6:G6"/>
    <mergeCell ref="C7:C8"/>
    <mergeCell ref="D7:D8"/>
    <mergeCell ref="E7:E8"/>
    <mergeCell ref="F7:F8"/>
    <mergeCell ref="G7:G8"/>
  </mergeCells>
  <hyperlinks>
    <hyperlink ref="G1" location="'Bilan EGALIZ'!A1" display="BILAN EGALIZ" xr:uid="{39827123-B795-6442-8B9A-703F0591958F}"/>
    <hyperlink ref="G1:H1" location="DIAGNOSTIC!A1" display="BILAN EGALIZ" xr:uid="{6C7A23CF-FE0F-3B4E-B2F2-20E4160B40DD}"/>
    <hyperlink ref="C1" location="SOMMAIRE!A1" display="SOMMAIRE" xr:uid="{173562DA-D430-5540-9F7F-72B3EF5F6A94}"/>
  </hyperlinks>
  <pageMargins left="0.74803149606299213" right="0.74803149606299213" top="0.98425196850393704" bottom="0.98425196850393704" header="0.51181102362204722" footer="0.51181102362204722"/>
  <pageSetup paperSize="9" scale="42" orientation="landscape" horizontalDpi="4294967292" verticalDpi="4294967292"/>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theme="9" tint="-0.249977111117893"/>
    <pageSetUpPr fitToPage="1"/>
  </sheetPr>
  <dimension ref="A1:Z63"/>
  <sheetViews>
    <sheetView showGridLines="0" workbookViewId="0">
      <selection activeCell="D1" sqref="D1"/>
    </sheetView>
  </sheetViews>
  <sheetFormatPr baseColWidth="10" defaultColWidth="11.83203125" defaultRowHeight="14"/>
  <cols>
    <col min="1" max="1" width="7.83203125" style="124" customWidth="1"/>
    <col min="2" max="2" width="3.6640625" style="44" customWidth="1"/>
    <col min="3" max="7" width="54.6640625" style="46" customWidth="1"/>
    <col min="8" max="11" width="7" style="46" customWidth="1"/>
    <col min="12" max="12" width="17.6640625" style="46" customWidth="1"/>
    <col min="13" max="14" width="10.1640625" style="46" customWidth="1"/>
    <col min="15" max="15" width="13" style="46" customWidth="1"/>
    <col min="16" max="20" width="6.6640625" style="46" customWidth="1"/>
    <col min="21" max="21" width="5.1640625" style="46" customWidth="1"/>
    <col min="22" max="22" width="17.6640625" style="46" customWidth="1"/>
    <col min="23" max="24" width="10.1640625" style="46" customWidth="1"/>
    <col min="25" max="25" width="13" style="46" customWidth="1"/>
    <col min="26" max="16384" width="11.83203125" style="46"/>
  </cols>
  <sheetData>
    <row r="1" spans="1:26" s="124" customFormat="1" ht="67.5" customHeight="1">
      <c r="A1" s="123"/>
      <c r="D1" s="1165" t="s">
        <v>980</v>
      </c>
      <c r="E1" s="1166"/>
      <c r="G1" s="1286" t="s">
        <v>382</v>
      </c>
      <c r="H1" s="1286"/>
    </row>
    <row r="2" spans="1:26" s="44" customFormat="1">
      <c r="A2" s="124"/>
      <c r="B2" s="45"/>
    </row>
    <row r="3" spans="1:26" s="47" customFormat="1" ht="15" thickBot="1">
      <c r="A3" s="124"/>
      <c r="B3" s="45"/>
      <c r="C3" s="46"/>
      <c r="D3" s="46"/>
      <c r="E3" s="46"/>
      <c r="F3" s="46"/>
      <c r="G3" s="46"/>
      <c r="H3" s="46"/>
      <c r="I3" s="46"/>
      <c r="J3" s="46"/>
      <c r="K3" s="46"/>
      <c r="L3" s="46"/>
      <c r="M3" s="46"/>
      <c r="N3" s="46"/>
      <c r="O3" s="46"/>
      <c r="P3" s="46"/>
      <c r="Q3" s="46"/>
      <c r="R3" s="46"/>
      <c r="S3" s="46"/>
      <c r="T3" s="46"/>
      <c r="U3" s="46"/>
      <c r="V3" s="46"/>
      <c r="W3" s="46"/>
      <c r="X3" s="46"/>
      <c r="Y3" s="46"/>
    </row>
    <row r="4" spans="1:26" s="47" customFormat="1" ht="15.75" customHeight="1">
      <c r="A4" s="124"/>
      <c r="B4" s="48"/>
      <c r="C4" s="1515" t="s">
        <v>146</v>
      </c>
      <c r="D4" s="1516"/>
      <c r="E4" s="1516"/>
      <c r="F4" s="1516"/>
      <c r="G4" s="1517"/>
      <c r="H4" s="46"/>
      <c r="I4" s="46"/>
      <c r="J4" s="46"/>
      <c r="K4" s="46"/>
      <c r="L4" s="46"/>
      <c r="M4" s="46"/>
      <c r="N4" s="46"/>
      <c r="O4" s="46"/>
      <c r="P4" s="46"/>
      <c r="Q4" s="46"/>
      <c r="R4" s="46"/>
      <c r="S4" s="46"/>
      <c r="T4" s="46"/>
      <c r="U4" s="46"/>
      <c r="V4" s="46"/>
      <c r="W4" s="46"/>
      <c r="X4" s="46"/>
      <c r="Y4" s="46"/>
      <c r="Z4" s="46"/>
    </row>
    <row r="5" spans="1:26" s="47" customFormat="1" ht="15.75" customHeight="1">
      <c r="A5" s="124"/>
      <c r="B5" s="48"/>
      <c r="C5" s="1518" t="s">
        <v>449</v>
      </c>
      <c r="D5" s="1519"/>
      <c r="E5" s="1519"/>
      <c r="F5" s="1519"/>
      <c r="G5" s="1520"/>
      <c r="H5" s="46"/>
      <c r="I5" s="46"/>
      <c r="J5" s="46"/>
      <c r="K5" s="46"/>
      <c r="L5" s="46"/>
      <c r="M5" s="46"/>
      <c r="N5" s="46"/>
      <c r="O5" s="46"/>
      <c r="P5" s="46"/>
      <c r="Q5" s="46"/>
      <c r="R5" s="46"/>
      <c r="S5" s="46"/>
      <c r="T5" s="46"/>
      <c r="U5" s="46"/>
      <c r="V5" s="46"/>
      <c r="W5" s="46"/>
      <c r="X5" s="46"/>
      <c r="Y5" s="46"/>
      <c r="Z5" s="46"/>
    </row>
    <row r="6" spans="1:26" s="47" customFormat="1" ht="17" thickBot="1">
      <c r="A6" s="124"/>
      <c r="B6" s="48"/>
      <c r="C6" s="1521"/>
      <c r="D6" s="1522"/>
      <c r="E6" s="1522"/>
      <c r="F6" s="1522"/>
      <c r="G6" s="1523"/>
      <c r="H6" s="46"/>
      <c r="I6" s="46"/>
      <c r="J6" s="46"/>
      <c r="K6" s="46"/>
      <c r="L6" s="46"/>
      <c r="M6" s="46"/>
      <c r="N6" s="46"/>
      <c r="O6" s="46"/>
      <c r="P6" s="46"/>
      <c r="Q6" s="46"/>
      <c r="R6" s="46"/>
      <c r="S6" s="46"/>
      <c r="T6" s="46"/>
      <c r="U6" s="46"/>
      <c r="V6" s="46"/>
      <c r="W6" s="46"/>
      <c r="X6" s="46"/>
      <c r="Y6" s="46"/>
      <c r="Z6" s="46"/>
    </row>
    <row r="7" spans="1:26" s="47" customFormat="1" ht="99" customHeight="1">
      <c r="A7" s="124"/>
      <c r="B7" s="44"/>
      <c r="C7" s="1524" t="s">
        <v>147</v>
      </c>
      <c r="D7" s="1524" t="s">
        <v>148</v>
      </c>
      <c r="E7" s="1524" t="s">
        <v>149</v>
      </c>
      <c r="F7" s="1524" t="s">
        <v>150</v>
      </c>
      <c r="G7" s="1512" t="s">
        <v>151</v>
      </c>
      <c r="H7" s="46"/>
      <c r="I7" s="46"/>
      <c r="J7" s="46"/>
      <c r="K7" s="46"/>
      <c r="L7" s="46"/>
      <c r="M7" s="46"/>
      <c r="N7" s="46"/>
      <c r="O7" s="46"/>
      <c r="P7" s="46"/>
      <c r="Q7" s="46"/>
      <c r="R7" s="46"/>
      <c r="S7" s="46"/>
      <c r="T7" s="46"/>
      <c r="U7" s="46"/>
      <c r="V7" s="46"/>
      <c r="W7" s="46"/>
      <c r="X7" s="46"/>
      <c r="Y7" s="46"/>
      <c r="Z7" s="46"/>
    </row>
    <row r="8" spans="1:26" s="47" customFormat="1" ht="15" thickBot="1">
      <c r="A8" s="124"/>
      <c r="B8" s="44"/>
      <c r="C8" s="1525"/>
      <c r="D8" s="1525"/>
      <c r="E8" s="1525"/>
      <c r="F8" s="1525"/>
      <c r="G8" s="1514"/>
      <c r="H8" s="46"/>
      <c r="I8" s="46"/>
      <c r="J8" s="46"/>
      <c r="K8" s="46"/>
      <c r="L8" s="46"/>
      <c r="M8" s="46"/>
      <c r="N8" s="46"/>
      <c r="O8" s="46"/>
      <c r="P8" s="46"/>
      <c r="Q8" s="46"/>
      <c r="R8" s="46"/>
      <c r="S8" s="46"/>
      <c r="T8" s="46"/>
      <c r="U8" s="46"/>
      <c r="V8" s="46"/>
      <c r="W8" s="46"/>
      <c r="X8" s="46"/>
      <c r="Y8" s="46"/>
      <c r="Z8" s="46"/>
    </row>
    <row r="9" spans="1:26" s="47" customFormat="1" ht="17" thickBot="1">
      <c r="A9" s="124"/>
      <c r="B9" s="44"/>
      <c r="C9" s="1509" t="s">
        <v>152</v>
      </c>
      <c r="D9" s="1510"/>
      <c r="E9" s="1510"/>
      <c r="F9" s="1510"/>
      <c r="G9" s="1511"/>
      <c r="H9" s="46"/>
      <c r="I9" s="46"/>
      <c r="J9" s="46"/>
      <c r="K9" s="46"/>
      <c r="L9" s="46"/>
      <c r="M9" s="46"/>
      <c r="N9" s="46"/>
      <c r="O9" s="46"/>
      <c r="P9" s="46"/>
      <c r="Q9" s="46"/>
      <c r="R9" s="46"/>
      <c r="S9" s="46"/>
      <c r="T9" s="46"/>
      <c r="U9" s="46"/>
      <c r="V9" s="46"/>
      <c r="W9" s="46"/>
      <c r="X9" s="46"/>
      <c r="Y9" s="46"/>
      <c r="Z9" s="46"/>
    </row>
    <row r="10" spans="1:26" s="47" customFormat="1" ht="17">
      <c r="A10" s="124"/>
      <c r="B10" s="44"/>
      <c r="C10" s="66" t="s">
        <v>206</v>
      </c>
      <c r="D10" s="1512" t="s">
        <v>211</v>
      </c>
      <c r="E10" s="1512"/>
      <c r="F10" s="1512"/>
      <c r="G10" s="1512"/>
      <c r="H10" s="46"/>
      <c r="I10" s="46"/>
      <c r="J10" s="46"/>
      <c r="K10" s="46"/>
      <c r="L10" s="46"/>
      <c r="M10" s="46"/>
      <c r="N10" s="46"/>
      <c r="O10" s="46"/>
      <c r="P10" s="46"/>
      <c r="Q10" s="46"/>
      <c r="R10" s="46"/>
      <c r="S10" s="46"/>
      <c r="T10" s="46"/>
      <c r="U10" s="46"/>
      <c r="V10" s="46"/>
      <c r="W10" s="46"/>
      <c r="X10" s="46"/>
      <c r="Y10" s="46"/>
      <c r="Z10" s="46"/>
    </row>
    <row r="11" spans="1:26" s="47" customFormat="1" ht="16">
      <c r="A11" s="124"/>
      <c r="B11" s="44"/>
      <c r="C11" s="66"/>
      <c r="D11" s="1513"/>
      <c r="E11" s="1513"/>
      <c r="F11" s="1513"/>
      <c r="G11" s="1513"/>
      <c r="H11" s="46"/>
      <c r="I11" s="46"/>
      <c r="J11" s="46"/>
      <c r="K11" s="46"/>
      <c r="L11" s="46"/>
      <c r="M11" s="46"/>
      <c r="N11" s="46"/>
      <c r="O11" s="46"/>
      <c r="P11" s="46"/>
      <c r="Q11" s="46"/>
      <c r="R11" s="46"/>
      <c r="S11" s="46"/>
      <c r="T11" s="46"/>
      <c r="U11" s="46"/>
      <c r="V11" s="46"/>
      <c r="W11" s="46"/>
      <c r="X11" s="46"/>
      <c r="Y11" s="46"/>
      <c r="Z11" s="46"/>
    </row>
    <row r="12" spans="1:26" s="47" customFormat="1" ht="17">
      <c r="A12" s="124"/>
      <c r="B12" s="44"/>
      <c r="C12" s="66" t="s">
        <v>207</v>
      </c>
      <c r="D12" s="1513"/>
      <c r="E12" s="1513"/>
      <c r="F12" s="1513"/>
      <c r="G12" s="1513"/>
      <c r="H12" s="46"/>
      <c r="I12" s="46"/>
      <c r="J12" s="46"/>
      <c r="K12" s="46"/>
      <c r="L12" s="46"/>
      <c r="M12" s="46"/>
      <c r="N12" s="46"/>
      <c r="O12" s="46"/>
      <c r="P12" s="46"/>
      <c r="Q12" s="46"/>
      <c r="R12" s="46"/>
      <c r="S12" s="46"/>
      <c r="T12" s="46"/>
      <c r="U12" s="46"/>
      <c r="V12" s="46"/>
      <c r="W12" s="46"/>
      <c r="X12" s="46"/>
      <c r="Y12" s="46"/>
      <c r="Z12" s="46"/>
    </row>
    <row r="13" spans="1:26" s="47" customFormat="1" ht="16">
      <c r="A13" s="124"/>
      <c r="B13" s="44"/>
      <c r="C13" s="66"/>
      <c r="D13" s="1513"/>
      <c r="E13" s="1513"/>
      <c r="F13" s="1513"/>
      <c r="G13" s="1513"/>
      <c r="H13" s="46"/>
      <c r="I13" s="46"/>
      <c r="J13" s="46"/>
      <c r="K13" s="46"/>
      <c r="L13" s="46"/>
      <c r="M13" s="46"/>
      <c r="N13" s="46"/>
      <c r="O13" s="46"/>
      <c r="P13" s="46"/>
      <c r="Q13" s="46"/>
      <c r="R13" s="46"/>
      <c r="S13" s="46"/>
      <c r="T13" s="46"/>
      <c r="U13" s="46"/>
      <c r="V13" s="46"/>
      <c r="W13" s="46"/>
      <c r="X13" s="46"/>
      <c r="Y13" s="46"/>
      <c r="Z13" s="46"/>
    </row>
    <row r="14" spans="1:26" s="47" customFormat="1" ht="16">
      <c r="A14" s="124"/>
      <c r="B14" s="44"/>
      <c r="C14" s="66"/>
      <c r="D14" s="1513"/>
      <c r="E14" s="1513"/>
      <c r="F14" s="1513"/>
      <c r="G14" s="1513"/>
      <c r="H14" s="46"/>
      <c r="I14" s="46"/>
      <c r="J14" s="46"/>
      <c r="K14" s="46"/>
      <c r="L14" s="46"/>
      <c r="M14" s="46"/>
      <c r="N14" s="46"/>
      <c r="O14" s="46"/>
      <c r="P14" s="46"/>
      <c r="Q14" s="46"/>
      <c r="R14" s="46"/>
      <c r="S14" s="46"/>
      <c r="T14" s="46"/>
      <c r="U14" s="46"/>
      <c r="V14" s="46"/>
      <c r="W14" s="46"/>
      <c r="X14" s="46"/>
      <c r="Y14" s="46"/>
      <c r="Z14" s="46"/>
    </row>
    <row r="15" spans="1:26" s="47" customFormat="1" ht="17" thickBot="1">
      <c r="A15" s="124"/>
      <c r="B15" s="44"/>
      <c r="C15" s="67"/>
      <c r="D15" s="1514"/>
      <c r="E15" s="1514"/>
      <c r="F15" s="1514"/>
      <c r="G15" s="1514"/>
      <c r="H15" s="46"/>
      <c r="I15" s="46"/>
      <c r="J15" s="46"/>
      <c r="K15" s="46"/>
      <c r="L15" s="46"/>
      <c r="M15" s="46"/>
      <c r="N15" s="46"/>
      <c r="O15" s="46"/>
      <c r="P15" s="46"/>
      <c r="Q15" s="46"/>
      <c r="R15" s="46"/>
      <c r="S15" s="46"/>
      <c r="T15" s="46"/>
      <c r="U15" s="46"/>
      <c r="V15" s="46"/>
      <c r="W15" s="46"/>
      <c r="X15" s="46"/>
      <c r="Y15" s="46"/>
      <c r="Z15" s="46"/>
    </row>
    <row r="16" spans="1:26" s="47" customFormat="1" ht="17" thickBot="1">
      <c r="A16" s="124"/>
      <c r="B16" s="44"/>
      <c r="C16" s="1509" t="s">
        <v>153</v>
      </c>
      <c r="D16" s="1510"/>
      <c r="E16" s="1510"/>
      <c r="F16" s="1510"/>
      <c r="G16" s="1511"/>
      <c r="H16" s="46"/>
      <c r="I16" s="46"/>
      <c r="J16" s="46"/>
      <c r="K16" s="46"/>
      <c r="L16" s="46"/>
      <c r="M16" s="46"/>
      <c r="N16" s="46"/>
      <c r="O16" s="46"/>
      <c r="P16" s="46"/>
      <c r="Q16" s="46"/>
      <c r="R16" s="46"/>
      <c r="S16" s="46"/>
      <c r="T16" s="46"/>
      <c r="U16" s="46"/>
      <c r="V16" s="46"/>
      <c r="W16" s="46"/>
      <c r="X16" s="46"/>
      <c r="Y16" s="46"/>
      <c r="Z16" s="46"/>
    </row>
    <row r="17" spans="1:26" s="47" customFormat="1">
      <c r="A17" s="124"/>
      <c r="B17" s="44"/>
      <c r="C17" s="1512"/>
      <c r="D17" s="1512"/>
      <c r="E17" s="1512"/>
      <c r="F17" s="1512"/>
      <c r="G17" s="1512"/>
      <c r="H17" s="46"/>
      <c r="I17" s="46"/>
      <c r="J17" s="46"/>
      <c r="K17" s="46"/>
      <c r="L17" s="46"/>
      <c r="M17" s="46"/>
      <c r="N17" s="46"/>
      <c r="O17" s="46"/>
      <c r="P17" s="46"/>
      <c r="Q17" s="46"/>
      <c r="R17" s="46"/>
      <c r="S17" s="46"/>
      <c r="T17" s="46"/>
      <c r="U17" s="46"/>
      <c r="V17" s="46"/>
      <c r="W17" s="46"/>
      <c r="X17" s="46"/>
      <c r="Y17" s="46"/>
      <c r="Z17" s="46"/>
    </row>
    <row r="18" spans="1:26" s="47" customFormat="1">
      <c r="A18" s="124"/>
      <c r="B18" s="44"/>
      <c r="C18" s="1513"/>
      <c r="D18" s="1513"/>
      <c r="E18" s="1513"/>
      <c r="F18" s="1513"/>
      <c r="G18" s="1513"/>
      <c r="H18" s="46"/>
      <c r="I18" s="46"/>
      <c r="J18" s="46"/>
      <c r="K18" s="46"/>
      <c r="L18" s="46"/>
      <c r="M18" s="46"/>
      <c r="N18" s="46"/>
      <c r="O18" s="46"/>
      <c r="P18" s="46"/>
      <c r="Q18" s="46"/>
      <c r="R18" s="46"/>
      <c r="S18" s="46"/>
      <c r="T18" s="46"/>
      <c r="U18" s="46"/>
      <c r="V18" s="46"/>
      <c r="W18" s="46"/>
      <c r="X18" s="46"/>
      <c r="Y18" s="46"/>
      <c r="Z18" s="46"/>
    </row>
    <row r="19" spans="1:26" s="47" customFormat="1">
      <c r="A19" s="124"/>
      <c r="B19" s="44"/>
      <c r="C19" s="1513"/>
      <c r="D19" s="1513"/>
      <c r="E19" s="1513"/>
      <c r="F19" s="1513"/>
      <c r="G19" s="1513"/>
      <c r="H19" s="46"/>
      <c r="I19" s="46"/>
      <c r="J19" s="46"/>
      <c r="K19" s="46"/>
      <c r="L19" s="46"/>
      <c r="M19" s="46"/>
      <c r="N19" s="46"/>
      <c r="O19" s="46"/>
      <c r="P19" s="46"/>
      <c r="Q19" s="46"/>
      <c r="R19" s="46"/>
      <c r="S19" s="46"/>
      <c r="T19" s="46"/>
      <c r="U19" s="46"/>
      <c r="V19" s="46"/>
      <c r="W19" s="46"/>
      <c r="X19" s="46"/>
      <c r="Y19" s="46"/>
      <c r="Z19" s="46"/>
    </row>
    <row r="20" spans="1:26" s="47" customFormat="1">
      <c r="A20" s="124"/>
      <c r="B20" s="44"/>
      <c r="C20" s="1513"/>
      <c r="D20" s="1513"/>
      <c r="E20" s="1513"/>
      <c r="F20" s="1513"/>
      <c r="G20" s="1513"/>
      <c r="H20" s="46"/>
      <c r="I20" s="46"/>
      <c r="J20" s="46"/>
      <c r="K20" s="46"/>
      <c r="L20" s="46"/>
      <c r="M20" s="46"/>
      <c r="N20" s="46"/>
      <c r="O20" s="46"/>
      <c r="P20" s="46"/>
      <c r="Q20" s="46"/>
      <c r="R20" s="46"/>
      <c r="S20" s="46"/>
      <c r="T20" s="46"/>
      <c r="U20" s="46"/>
      <c r="V20" s="46"/>
      <c r="W20" s="46"/>
      <c r="X20" s="46"/>
      <c r="Y20" s="46"/>
      <c r="Z20" s="46"/>
    </row>
    <row r="21" spans="1:26" s="47" customFormat="1" ht="15" thickBot="1">
      <c r="A21" s="124"/>
      <c r="B21" s="44"/>
      <c r="C21" s="1514"/>
      <c r="D21" s="1514"/>
      <c r="E21" s="1514"/>
      <c r="F21" s="1514"/>
      <c r="G21" s="1514"/>
      <c r="H21" s="46"/>
      <c r="I21" s="46"/>
      <c r="J21" s="46"/>
      <c r="K21" s="46"/>
      <c r="L21" s="46"/>
      <c r="M21" s="46"/>
      <c r="N21" s="46"/>
      <c r="O21" s="46"/>
      <c r="P21" s="46"/>
      <c r="Q21" s="46"/>
      <c r="R21" s="46"/>
      <c r="S21" s="46"/>
      <c r="T21" s="46"/>
      <c r="U21" s="46"/>
      <c r="V21" s="46"/>
      <c r="W21" s="46"/>
      <c r="X21" s="46"/>
      <c r="Y21" s="46"/>
      <c r="Z21" s="46"/>
    </row>
    <row r="22" spans="1:26" s="47" customFormat="1" ht="17" thickBot="1">
      <c r="A22" s="124"/>
      <c r="B22" s="44"/>
      <c r="C22" s="1509" t="s">
        <v>154</v>
      </c>
      <c r="D22" s="1510"/>
      <c r="E22" s="1510"/>
      <c r="F22" s="1510"/>
      <c r="G22" s="1511"/>
      <c r="H22" s="46"/>
      <c r="I22" s="46"/>
      <c r="J22" s="46"/>
      <c r="K22" s="46"/>
      <c r="L22" s="46"/>
      <c r="M22" s="46"/>
      <c r="N22" s="46"/>
      <c r="O22" s="46"/>
      <c r="P22" s="46"/>
      <c r="Q22" s="46"/>
      <c r="R22" s="46"/>
      <c r="S22" s="46"/>
      <c r="T22" s="46"/>
      <c r="U22" s="46"/>
      <c r="V22" s="46"/>
      <c r="W22" s="46"/>
      <c r="X22" s="46"/>
      <c r="Y22" s="46"/>
      <c r="Z22" s="46"/>
    </row>
    <row r="23" spans="1:26" s="47" customFormat="1">
      <c r="A23" s="124"/>
      <c r="B23" s="44"/>
      <c r="C23" s="1512"/>
      <c r="D23" s="1512"/>
      <c r="E23" s="1512"/>
      <c r="F23" s="1512"/>
      <c r="G23" s="1512"/>
      <c r="H23" s="46"/>
      <c r="I23" s="46"/>
      <c r="J23" s="46"/>
      <c r="K23" s="46"/>
      <c r="L23" s="46"/>
      <c r="M23" s="46"/>
      <c r="N23" s="46"/>
      <c r="O23" s="46"/>
      <c r="P23" s="46"/>
      <c r="Q23" s="46"/>
      <c r="R23" s="46"/>
      <c r="S23" s="46"/>
      <c r="T23" s="46"/>
      <c r="U23" s="46"/>
      <c r="V23" s="46"/>
      <c r="W23" s="46"/>
      <c r="X23" s="46"/>
      <c r="Y23" s="46"/>
      <c r="Z23" s="46"/>
    </row>
    <row r="24" spans="1:26" s="47" customFormat="1">
      <c r="A24" s="124"/>
      <c r="B24" s="44"/>
      <c r="C24" s="1513"/>
      <c r="D24" s="1513"/>
      <c r="E24" s="1513"/>
      <c r="F24" s="1513"/>
      <c r="G24" s="1513"/>
      <c r="H24" s="46"/>
      <c r="I24" s="46"/>
      <c r="J24" s="46"/>
      <c r="K24" s="46"/>
      <c r="L24" s="46"/>
      <c r="M24" s="46"/>
      <c r="N24" s="46"/>
      <c r="O24" s="46"/>
      <c r="P24" s="46"/>
      <c r="Q24" s="46"/>
      <c r="R24" s="46"/>
      <c r="S24" s="46"/>
      <c r="T24" s="46"/>
      <c r="U24" s="46"/>
      <c r="V24" s="46"/>
      <c r="W24" s="46"/>
      <c r="X24" s="46"/>
      <c r="Y24" s="46"/>
      <c r="Z24" s="46"/>
    </row>
    <row r="25" spans="1:26" s="47" customFormat="1">
      <c r="A25" s="124"/>
      <c r="B25" s="44"/>
      <c r="C25" s="1513"/>
      <c r="D25" s="1513"/>
      <c r="E25" s="1513"/>
      <c r="F25" s="1513"/>
      <c r="G25" s="1513"/>
      <c r="H25" s="46"/>
      <c r="I25" s="46"/>
      <c r="J25" s="46"/>
      <c r="K25" s="46"/>
      <c r="L25" s="46"/>
      <c r="M25" s="46"/>
      <c r="N25" s="46"/>
      <c r="O25" s="46"/>
      <c r="P25" s="46"/>
      <c r="Q25" s="46"/>
      <c r="R25" s="46"/>
      <c r="S25" s="46"/>
      <c r="T25" s="46"/>
      <c r="U25" s="46"/>
      <c r="V25" s="46"/>
      <c r="W25" s="46"/>
      <c r="X25" s="46"/>
      <c r="Y25" s="46"/>
      <c r="Z25" s="46"/>
    </row>
    <row r="26" spans="1:26" s="47" customFormat="1">
      <c r="A26" s="124"/>
      <c r="B26" s="44"/>
      <c r="C26" s="1513"/>
      <c r="D26" s="1513"/>
      <c r="E26" s="1513"/>
      <c r="F26" s="1513"/>
      <c r="G26" s="1513"/>
      <c r="H26" s="46"/>
      <c r="I26" s="46"/>
      <c r="J26" s="46"/>
      <c r="K26" s="46"/>
      <c r="L26" s="46"/>
      <c r="M26" s="46"/>
      <c r="N26" s="46"/>
      <c r="O26" s="46"/>
      <c r="P26" s="46"/>
      <c r="Q26" s="46"/>
      <c r="R26" s="46"/>
      <c r="S26" s="46"/>
      <c r="T26" s="46"/>
      <c r="U26" s="46"/>
      <c r="V26" s="46"/>
      <c r="W26" s="46"/>
      <c r="X26" s="46"/>
      <c r="Y26" s="46"/>
      <c r="Z26" s="46"/>
    </row>
    <row r="27" spans="1:26" s="47" customFormat="1" ht="15" thickBot="1">
      <c r="A27" s="124"/>
      <c r="B27" s="44"/>
      <c r="C27" s="1514"/>
      <c r="D27" s="1514"/>
      <c r="E27" s="1514"/>
      <c r="F27" s="1514"/>
      <c r="G27" s="1514"/>
      <c r="H27" s="46"/>
      <c r="I27" s="46"/>
      <c r="J27" s="46"/>
      <c r="K27" s="46"/>
      <c r="L27" s="46"/>
      <c r="M27" s="46"/>
      <c r="N27" s="46"/>
      <c r="O27" s="46"/>
      <c r="P27" s="46"/>
      <c r="Q27" s="46"/>
      <c r="R27" s="46"/>
      <c r="S27" s="46"/>
      <c r="T27" s="46"/>
      <c r="U27" s="46"/>
      <c r="V27" s="46"/>
      <c r="W27" s="46"/>
      <c r="X27" s="46"/>
      <c r="Y27" s="46"/>
      <c r="Z27" s="46"/>
    </row>
    <row r="28" spans="1:26" s="47" customFormat="1" ht="17" thickBot="1">
      <c r="A28" s="124"/>
      <c r="B28" s="44"/>
      <c r="C28" s="1509" t="s">
        <v>155</v>
      </c>
      <c r="D28" s="1510"/>
      <c r="E28" s="1510"/>
      <c r="F28" s="1510"/>
      <c r="G28" s="1511"/>
      <c r="H28" s="46"/>
      <c r="I28" s="46"/>
      <c r="J28" s="46"/>
      <c r="K28" s="46"/>
      <c r="L28" s="46"/>
      <c r="M28" s="46"/>
      <c r="N28" s="46"/>
      <c r="O28" s="46"/>
      <c r="P28" s="46"/>
      <c r="Q28" s="46"/>
      <c r="R28" s="46"/>
      <c r="S28" s="46"/>
      <c r="T28" s="46"/>
      <c r="U28" s="46"/>
      <c r="V28" s="46"/>
      <c r="W28" s="46"/>
      <c r="X28" s="46"/>
      <c r="Y28" s="46"/>
      <c r="Z28" s="46"/>
    </row>
    <row r="29" spans="1:26" s="47" customFormat="1">
      <c r="A29" s="124"/>
      <c r="B29" s="44"/>
      <c r="C29" s="1512"/>
      <c r="D29" s="1512"/>
      <c r="E29" s="1512"/>
      <c r="F29" s="1512"/>
      <c r="G29" s="1512"/>
      <c r="H29" s="46"/>
      <c r="I29" s="46"/>
      <c r="J29" s="46"/>
      <c r="K29" s="46"/>
      <c r="L29" s="46"/>
      <c r="M29" s="46"/>
      <c r="N29" s="46"/>
      <c r="O29" s="46"/>
      <c r="P29" s="46"/>
      <c r="Q29" s="46"/>
      <c r="R29" s="46"/>
      <c r="S29" s="46"/>
      <c r="T29" s="46"/>
      <c r="U29" s="46"/>
      <c r="V29" s="46"/>
      <c r="W29" s="46"/>
      <c r="X29" s="46"/>
      <c r="Y29" s="46"/>
      <c r="Z29" s="46"/>
    </row>
    <row r="30" spans="1:26" s="47" customFormat="1">
      <c r="A30" s="124"/>
      <c r="B30" s="44"/>
      <c r="C30" s="1513"/>
      <c r="D30" s="1513"/>
      <c r="E30" s="1513"/>
      <c r="F30" s="1513"/>
      <c r="G30" s="1513"/>
      <c r="H30" s="46"/>
      <c r="I30" s="46"/>
      <c r="J30" s="46"/>
      <c r="K30" s="46"/>
      <c r="L30" s="46"/>
      <c r="M30" s="46"/>
      <c r="N30" s="46"/>
      <c r="O30" s="46"/>
      <c r="P30" s="46"/>
      <c r="Q30" s="46"/>
      <c r="R30" s="46"/>
      <c r="S30" s="46"/>
      <c r="T30" s="46"/>
      <c r="U30" s="46"/>
      <c r="V30" s="46"/>
      <c r="W30" s="46"/>
      <c r="X30" s="46"/>
      <c r="Y30" s="46"/>
      <c r="Z30" s="46"/>
    </row>
    <row r="31" spans="1:26" s="47" customFormat="1">
      <c r="A31" s="124"/>
      <c r="B31" s="44"/>
      <c r="C31" s="1513"/>
      <c r="D31" s="1513"/>
      <c r="E31" s="1513"/>
      <c r="F31" s="1513"/>
      <c r="G31" s="1513"/>
      <c r="H31" s="46"/>
      <c r="I31" s="46"/>
      <c r="J31" s="46"/>
      <c r="K31" s="46"/>
      <c r="L31" s="46"/>
      <c r="M31" s="46"/>
      <c r="N31" s="46"/>
      <c r="O31" s="46"/>
      <c r="P31" s="46"/>
      <c r="Q31" s="46"/>
      <c r="R31" s="46"/>
      <c r="S31" s="46"/>
      <c r="T31" s="46"/>
      <c r="U31" s="46"/>
      <c r="V31" s="46"/>
      <c r="W31" s="46"/>
      <c r="X31" s="46"/>
      <c r="Y31" s="46"/>
      <c r="Z31" s="46"/>
    </row>
    <row r="32" spans="1:26" s="47" customFormat="1">
      <c r="A32" s="124"/>
      <c r="B32" s="48"/>
      <c r="C32" s="1513"/>
      <c r="D32" s="1513"/>
      <c r="E32" s="1513"/>
      <c r="F32" s="1513"/>
      <c r="G32" s="1513"/>
      <c r="H32" s="46"/>
      <c r="I32" s="46"/>
      <c r="J32" s="46"/>
      <c r="K32" s="46"/>
      <c r="L32" s="46"/>
      <c r="M32" s="46"/>
      <c r="N32" s="46"/>
      <c r="O32" s="46"/>
      <c r="P32" s="46"/>
      <c r="Q32" s="46"/>
      <c r="R32" s="46"/>
      <c r="S32" s="46"/>
      <c r="T32" s="46"/>
      <c r="U32" s="46"/>
      <c r="V32" s="46"/>
      <c r="W32" s="46"/>
      <c r="X32" s="46"/>
      <c r="Y32" s="46"/>
      <c r="Z32" s="46"/>
    </row>
    <row r="33" spans="3:7" ht="15" thickBot="1">
      <c r="C33" s="1514"/>
      <c r="D33" s="1514"/>
      <c r="E33" s="1514"/>
      <c r="F33" s="1514"/>
      <c r="G33" s="1514"/>
    </row>
    <row r="34" spans="3:7" ht="17" thickBot="1">
      <c r="C34" s="1509" t="s">
        <v>156</v>
      </c>
      <c r="D34" s="1510"/>
      <c r="E34" s="1510"/>
      <c r="F34" s="1510"/>
      <c r="G34" s="1511"/>
    </row>
    <row r="35" spans="3:7">
      <c r="C35" s="1512"/>
      <c r="D35" s="1512"/>
      <c r="E35" s="1512"/>
      <c r="F35" s="1512"/>
      <c r="G35" s="1512"/>
    </row>
    <row r="36" spans="3:7">
      <c r="C36" s="1513"/>
      <c r="D36" s="1513"/>
      <c r="E36" s="1513"/>
      <c r="F36" s="1513"/>
      <c r="G36" s="1513"/>
    </row>
    <row r="37" spans="3:7">
      <c r="C37" s="1513"/>
      <c r="D37" s="1513"/>
      <c r="E37" s="1513"/>
      <c r="F37" s="1513"/>
      <c r="G37" s="1513"/>
    </row>
    <row r="38" spans="3:7">
      <c r="C38" s="1513"/>
      <c r="D38" s="1513"/>
      <c r="E38" s="1513"/>
      <c r="F38" s="1513"/>
      <c r="G38" s="1513"/>
    </row>
    <row r="39" spans="3:7" ht="15" thickBot="1">
      <c r="C39" s="1514"/>
      <c r="D39" s="1514"/>
      <c r="E39" s="1514"/>
      <c r="F39" s="1514"/>
      <c r="G39" s="1514"/>
    </row>
    <row r="40" spans="3:7" ht="17" thickBot="1">
      <c r="C40" s="1509" t="s">
        <v>157</v>
      </c>
      <c r="D40" s="1510"/>
      <c r="E40" s="1510"/>
      <c r="F40" s="1510"/>
      <c r="G40" s="1511"/>
    </row>
    <row r="41" spans="3:7">
      <c r="C41" s="1512"/>
      <c r="D41" s="1512"/>
      <c r="E41" s="1512"/>
      <c r="F41" s="1512"/>
      <c r="G41" s="1512"/>
    </row>
    <row r="42" spans="3:7">
      <c r="C42" s="1513"/>
      <c r="D42" s="1513"/>
      <c r="E42" s="1513"/>
      <c r="F42" s="1513"/>
      <c r="G42" s="1513"/>
    </row>
    <row r="43" spans="3:7">
      <c r="C43" s="1513"/>
      <c r="D43" s="1513"/>
      <c r="E43" s="1513"/>
      <c r="F43" s="1513"/>
      <c r="G43" s="1513"/>
    </row>
    <row r="44" spans="3:7">
      <c r="C44" s="1513"/>
      <c r="D44" s="1513"/>
      <c r="E44" s="1513"/>
      <c r="F44" s="1513"/>
      <c r="G44" s="1513"/>
    </row>
    <row r="45" spans="3:7" ht="15" thickBot="1">
      <c r="C45" s="1514"/>
      <c r="D45" s="1514"/>
      <c r="E45" s="1514"/>
      <c r="F45" s="1514"/>
      <c r="G45" s="1514"/>
    </row>
    <row r="46" spans="3:7" ht="17" thickBot="1">
      <c r="C46" s="1509" t="s">
        <v>233</v>
      </c>
      <c r="D46" s="1510"/>
      <c r="E46" s="1510"/>
      <c r="F46" s="1510"/>
      <c r="G46" s="1511"/>
    </row>
    <row r="47" spans="3:7">
      <c r="C47" s="1512"/>
      <c r="D47" s="1512"/>
      <c r="E47" s="1512"/>
      <c r="F47" s="1512"/>
      <c r="G47" s="1512"/>
    </row>
    <row r="48" spans="3:7">
      <c r="C48" s="1513"/>
      <c r="D48" s="1513"/>
      <c r="E48" s="1513"/>
      <c r="F48" s="1513"/>
      <c r="G48" s="1513"/>
    </row>
    <row r="49" spans="3:7">
      <c r="C49" s="1513"/>
      <c r="D49" s="1513"/>
      <c r="E49" s="1513"/>
      <c r="F49" s="1513"/>
      <c r="G49" s="1513"/>
    </row>
    <row r="50" spans="3:7">
      <c r="C50" s="1513"/>
      <c r="D50" s="1513"/>
      <c r="E50" s="1513"/>
      <c r="F50" s="1513"/>
      <c r="G50" s="1513"/>
    </row>
    <row r="51" spans="3:7" ht="15" thickBot="1">
      <c r="C51" s="1514"/>
      <c r="D51" s="1514"/>
      <c r="E51" s="1514"/>
      <c r="F51" s="1514"/>
      <c r="G51" s="1514"/>
    </row>
    <row r="52" spans="3:7" ht="17" thickBot="1">
      <c r="C52" s="1509" t="s">
        <v>209</v>
      </c>
      <c r="D52" s="1510"/>
      <c r="E52" s="1510"/>
      <c r="F52" s="1510"/>
      <c r="G52" s="1511"/>
    </row>
    <row r="53" spans="3:7">
      <c r="C53" s="1512"/>
      <c r="D53" s="1512"/>
      <c r="E53" s="1512"/>
      <c r="F53" s="1512"/>
      <c r="G53" s="1512"/>
    </row>
    <row r="54" spans="3:7">
      <c r="C54" s="1513"/>
      <c r="D54" s="1513"/>
      <c r="E54" s="1513"/>
      <c r="F54" s="1513"/>
      <c r="G54" s="1513"/>
    </row>
    <row r="55" spans="3:7">
      <c r="C55" s="1513"/>
      <c r="D55" s="1513"/>
      <c r="E55" s="1513"/>
      <c r="F55" s="1513"/>
      <c r="G55" s="1513"/>
    </row>
    <row r="56" spans="3:7">
      <c r="C56" s="1513"/>
      <c r="D56" s="1513"/>
      <c r="E56" s="1513"/>
      <c r="F56" s="1513"/>
      <c r="G56" s="1513"/>
    </row>
    <row r="57" spans="3:7" ht="15" thickBot="1">
      <c r="C57" s="1514"/>
      <c r="D57" s="1514"/>
      <c r="E57" s="1514"/>
      <c r="F57" s="1514"/>
      <c r="G57" s="1514"/>
    </row>
    <row r="58" spans="3:7" ht="17" thickBot="1">
      <c r="C58" s="1509" t="s">
        <v>212</v>
      </c>
      <c r="D58" s="1510"/>
      <c r="E58" s="1510"/>
      <c r="F58" s="1510"/>
      <c r="G58" s="1511"/>
    </row>
    <row r="59" spans="3:7">
      <c r="C59" s="1512"/>
      <c r="D59" s="1512"/>
      <c r="E59" s="1512"/>
      <c r="F59" s="1512"/>
      <c r="G59" s="1512"/>
    </row>
    <row r="60" spans="3:7">
      <c r="C60" s="1513"/>
      <c r="D60" s="1513"/>
      <c r="E60" s="1513"/>
      <c r="F60" s="1513"/>
      <c r="G60" s="1513"/>
    </row>
    <row r="61" spans="3:7" ht="15" thickBot="1">
      <c r="C61" s="1514"/>
      <c r="D61" s="1514"/>
      <c r="E61" s="1514"/>
      <c r="F61" s="1514"/>
      <c r="G61" s="1514"/>
    </row>
    <row r="62" spans="3:7" ht="16">
      <c r="C62" s="68"/>
      <c r="D62" s="1"/>
      <c r="E62" s="1"/>
      <c r="F62" s="1"/>
      <c r="G62" s="1"/>
    </row>
    <row r="63" spans="3:7" ht="16">
      <c r="C63" s="68"/>
      <c r="D63" s="1"/>
      <c r="E63" s="1"/>
      <c r="F63" s="1"/>
      <c r="G63" s="1"/>
    </row>
  </sheetData>
  <mergeCells count="62">
    <mergeCell ref="C59:C61"/>
    <mergeCell ref="D59:D61"/>
    <mergeCell ref="E59:E61"/>
    <mergeCell ref="F53:F57"/>
    <mergeCell ref="G53:G57"/>
    <mergeCell ref="F59:F61"/>
    <mergeCell ref="G59:G61"/>
    <mergeCell ref="C58:G58"/>
    <mergeCell ref="C53:C57"/>
    <mergeCell ref="D53:D57"/>
    <mergeCell ref="E53:E57"/>
    <mergeCell ref="F29:F33"/>
    <mergeCell ref="G29:G33"/>
    <mergeCell ref="F41:F45"/>
    <mergeCell ref="G41:G45"/>
    <mergeCell ref="C46:G46"/>
    <mergeCell ref="G35:G39"/>
    <mergeCell ref="E35:E39"/>
    <mergeCell ref="F35:F39"/>
    <mergeCell ref="C40:G40"/>
    <mergeCell ref="D41:D45"/>
    <mergeCell ref="E41:E45"/>
    <mergeCell ref="C52:G52"/>
    <mergeCell ref="G47:G51"/>
    <mergeCell ref="C34:G34"/>
    <mergeCell ref="C35:C39"/>
    <mergeCell ref="D35:D39"/>
    <mergeCell ref="C41:C45"/>
    <mergeCell ref="C47:C51"/>
    <mergeCell ref="D47:D51"/>
    <mergeCell ref="E47:E51"/>
    <mergeCell ref="F47:F51"/>
    <mergeCell ref="C16:G16"/>
    <mergeCell ref="C28:G28"/>
    <mergeCell ref="C29:C33"/>
    <mergeCell ref="D29:D33"/>
    <mergeCell ref="E29:E33"/>
    <mergeCell ref="C17:C21"/>
    <mergeCell ref="D17:D21"/>
    <mergeCell ref="E17:E21"/>
    <mergeCell ref="F17:F21"/>
    <mergeCell ref="G17:G21"/>
    <mergeCell ref="C22:G22"/>
    <mergeCell ref="C23:C27"/>
    <mergeCell ref="D23:D27"/>
    <mergeCell ref="E23:E27"/>
    <mergeCell ref="F23:F27"/>
    <mergeCell ref="G23:G27"/>
    <mergeCell ref="C9:G9"/>
    <mergeCell ref="D10:D15"/>
    <mergeCell ref="E10:E15"/>
    <mergeCell ref="F10:F15"/>
    <mergeCell ref="G10:G15"/>
    <mergeCell ref="G1:H1"/>
    <mergeCell ref="C4:G4"/>
    <mergeCell ref="C5:G5"/>
    <mergeCell ref="C6:G6"/>
    <mergeCell ref="C7:C8"/>
    <mergeCell ref="D7:D8"/>
    <mergeCell ref="E7:E8"/>
    <mergeCell ref="F7:F8"/>
    <mergeCell ref="G7:G8"/>
  </mergeCells>
  <hyperlinks>
    <hyperlink ref="D1" location="SOMMAIRE!A1" display="SOMMAIRE" xr:uid="{EF61C208-49B4-3A40-AE84-59A4387FF8E4}"/>
    <hyperlink ref="G1" location="'Bilan EGALIZ'!A1" display="BILAN EGALIZ" xr:uid="{43F970DB-5BEB-8A49-A993-897AB93110AF}"/>
    <hyperlink ref="G1:H1" location="DIAGNOSTIC!A1" display="BILAN EGALIZ" xr:uid="{2434FB01-7B75-114C-9109-F72459A584DD}"/>
  </hyperlinks>
  <pageMargins left="0.74803149606299213" right="0.74803149606299213" top="0.98425196850393704" bottom="0.98425196850393704" header="0.51181102362204722" footer="0.51181102362204722"/>
  <pageSetup paperSize="9" scale="42" orientation="landscape" horizontalDpi="4294967292" verticalDpi="4294967292"/>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1:BA173"/>
  <sheetViews>
    <sheetView showGridLines="0" zoomScale="60" zoomScaleNormal="60" workbookViewId="0"/>
  </sheetViews>
  <sheetFormatPr baseColWidth="10" defaultColWidth="11.83203125" defaultRowHeight="18"/>
  <cols>
    <col min="1" max="1" width="8.1640625" style="148" customWidth="1"/>
    <col min="2" max="2" width="1.1640625" style="126" customWidth="1"/>
    <col min="3" max="3" width="5.1640625" style="151" customWidth="1"/>
    <col min="4" max="4" width="4" style="151" customWidth="1"/>
    <col min="5" max="5" width="31.1640625" style="151" customWidth="1"/>
    <col min="6" max="6" width="3.1640625" style="154" customWidth="1"/>
    <col min="7" max="7" width="137.83203125" style="151" customWidth="1"/>
    <col min="8" max="8" width="3.33203125" style="1053" customWidth="1"/>
    <col min="9" max="9" width="55" style="1053" customWidth="1"/>
    <col min="10" max="10" width="2.5" style="1053" customWidth="1"/>
    <col min="11" max="11" width="122.1640625" style="165" customWidth="1"/>
    <col min="12" max="13" width="2.1640625" style="151" customWidth="1"/>
    <col min="14" max="16" width="1.6640625" style="151" customWidth="1"/>
    <col min="17" max="17" width="3.1640625" style="151" customWidth="1"/>
    <col min="18" max="18" width="8.5" style="151" customWidth="1"/>
    <col min="19" max="19" width="5.1640625" style="151" customWidth="1"/>
    <col min="20" max="21" width="6.6640625" style="151" customWidth="1"/>
    <col min="22" max="22" width="10.83203125" style="151" customWidth="1"/>
    <col min="23" max="23" width="17.6640625" style="151" customWidth="1"/>
    <col min="24" max="24" width="10.1640625" style="151" customWidth="1"/>
    <col min="26" max="26" width="13" style="151" customWidth="1"/>
    <col min="27" max="27" width="11.83203125" style="151"/>
    <col min="28" max="28" width="15.33203125" style="151" customWidth="1"/>
    <col min="29" max="35" width="11.83203125" style="151"/>
    <col min="36" max="36" width="13.6640625" style="151" customWidth="1"/>
    <col min="37" max="37" width="2.6640625" style="151" customWidth="1"/>
    <col min="38" max="38" width="0.33203125" style="151" customWidth="1"/>
    <col min="39" max="39" width="4.5" style="244" customWidth="1"/>
    <col min="40" max="40" width="10" style="244" customWidth="1"/>
    <col min="41" max="41" width="23.1640625" style="244" customWidth="1"/>
    <col min="42" max="42" width="71.6640625" style="244" customWidth="1"/>
    <col min="43" max="43" width="2.6640625" style="92" customWidth="1"/>
    <col min="44" max="44" width="5.33203125" style="244" customWidth="1"/>
    <col min="45" max="45" width="95.1640625" style="92" customWidth="1"/>
    <col min="46" max="46" width="27.83203125" style="92" customWidth="1"/>
    <col min="47" max="47" width="36.83203125" style="92" customWidth="1"/>
    <col min="48" max="48" width="34" style="92" customWidth="1"/>
    <col min="49" max="49" width="5.5" style="92" customWidth="1"/>
    <col min="50" max="50" width="4.6640625" style="92" customWidth="1"/>
    <col min="51" max="51" width="11.6640625" style="92" customWidth="1"/>
    <col min="52" max="52" width="20" style="92" customWidth="1"/>
    <col min="53" max="53" width="6.1640625" style="92" customWidth="1"/>
    <col min="54" max="16384" width="11.83203125" style="151"/>
  </cols>
  <sheetData>
    <row r="1" spans="1:53" s="148" customFormat="1" ht="55.5" customHeight="1">
      <c r="A1" s="147"/>
      <c r="H1" s="169"/>
      <c r="I1" s="169"/>
      <c r="J1" s="169"/>
      <c r="K1" s="1286" t="s">
        <v>382</v>
      </c>
      <c r="L1" s="1286"/>
      <c r="T1" s="1295" t="s">
        <v>980</v>
      </c>
      <c r="U1" s="1295"/>
      <c r="V1" s="1295"/>
      <c r="AK1" s="408"/>
      <c r="AM1" s="125"/>
      <c r="AN1" s="125"/>
      <c r="AO1" s="1285" t="s">
        <v>980</v>
      </c>
      <c r="AP1" s="1285"/>
      <c r="AQ1" s="1285"/>
      <c r="AR1" s="125"/>
      <c r="AT1" s="125"/>
      <c r="AU1" s="125"/>
      <c r="AV1" s="125"/>
      <c r="AW1" s="125"/>
      <c r="AX1" s="125"/>
      <c r="AY1" s="125"/>
      <c r="AZ1" s="125"/>
      <c r="BA1" s="125"/>
    </row>
    <row r="2" spans="1:53" s="126" customFormat="1" ht="30" customHeight="1">
      <c r="A2" s="148"/>
      <c r="B2" s="149"/>
      <c r="C2" s="149"/>
      <c r="F2" s="347"/>
      <c r="H2" s="1053"/>
      <c r="I2" s="1053"/>
      <c r="J2" s="1053"/>
      <c r="K2" s="170"/>
      <c r="N2" s="408"/>
      <c r="AK2" s="408"/>
      <c r="AL2" s="408"/>
      <c r="AM2" s="244"/>
      <c r="AN2" s="244"/>
      <c r="AO2" s="244"/>
      <c r="AP2" s="244"/>
      <c r="AQ2" s="92"/>
      <c r="AR2" s="244"/>
      <c r="AS2" s="92"/>
      <c r="AT2" s="92"/>
      <c r="AU2" s="92"/>
      <c r="AV2" s="92"/>
      <c r="AW2" s="92"/>
      <c r="AX2" s="92"/>
      <c r="AY2" s="92"/>
      <c r="AZ2" s="92"/>
      <c r="BA2" s="92"/>
    </row>
    <row r="3" spans="1:53" s="152" customFormat="1" ht="28" customHeight="1">
      <c r="A3" s="148"/>
      <c r="B3" s="149"/>
      <c r="C3" s="150"/>
      <c r="D3" s="1133" t="s">
        <v>964</v>
      </c>
      <c r="E3" s="151"/>
      <c r="F3" s="154"/>
      <c r="G3" s="151"/>
      <c r="H3" s="1053"/>
      <c r="J3" s="1053"/>
      <c r="L3" s="151"/>
      <c r="M3" s="151"/>
      <c r="N3" s="408"/>
      <c r="O3" s="151"/>
      <c r="P3" s="151"/>
      <c r="Q3" s="151"/>
      <c r="R3" s="151"/>
      <c r="S3" s="151"/>
      <c r="T3" s="151"/>
      <c r="U3" s="151"/>
      <c r="V3" s="151"/>
      <c r="W3" s="151"/>
      <c r="X3" s="151"/>
      <c r="Z3" s="151"/>
      <c r="AK3" s="408"/>
      <c r="AL3" s="408"/>
      <c r="AM3" s="244"/>
      <c r="AN3" s="1141" t="s">
        <v>456</v>
      </c>
      <c r="AO3" s="92"/>
      <c r="AP3" s="92"/>
      <c r="AQ3" s="92"/>
      <c r="AR3" s="244"/>
      <c r="AS3" s="92"/>
      <c r="AT3" s="92"/>
      <c r="AU3" s="75"/>
      <c r="AV3" s="92"/>
      <c r="AW3" s="92"/>
      <c r="AX3" s="92"/>
      <c r="AY3" s="92"/>
      <c r="AZ3" s="92"/>
      <c r="BA3" s="92"/>
    </row>
    <row r="4" spans="1:53" s="152" customFormat="1" ht="41" customHeight="1">
      <c r="A4" s="148"/>
      <c r="B4" s="149"/>
      <c r="C4" s="150"/>
      <c r="D4" s="1046" t="s">
        <v>400</v>
      </c>
      <c r="E4" s="151"/>
      <c r="F4" s="154"/>
      <c r="G4" s="151"/>
      <c r="H4" s="1053"/>
      <c r="I4" s="1053"/>
      <c r="J4" s="1053"/>
      <c r="K4" s="165"/>
      <c r="L4" s="151"/>
      <c r="M4" s="151"/>
      <c r="N4" s="408"/>
      <c r="O4" s="151"/>
      <c r="P4" s="151"/>
      <c r="Q4" s="151"/>
      <c r="R4" s="1140" t="s">
        <v>965</v>
      </c>
      <c r="S4" s="151"/>
      <c r="X4" s="151"/>
      <c r="Z4" s="151"/>
      <c r="AK4" s="408"/>
      <c r="AL4" s="408"/>
      <c r="AM4" s="244"/>
      <c r="AN4" s="205" t="s">
        <v>333</v>
      </c>
      <c r="AO4" s="92"/>
      <c r="AP4" s="92"/>
      <c r="AQ4" s="92"/>
      <c r="AR4" s="244"/>
      <c r="AS4" s="92"/>
      <c r="AT4" s="92"/>
      <c r="AV4" s="92"/>
      <c r="AW4" s="92"/>
      <c r="AX4" s="92"/>
      <c r="AY4" s="92"/>
      <c r="AZ4" s="92"/>
      <c r="BA4" s="92"/>
    </row>
    <row r="5" spans="1:53" s="152" customFormat="1" ht="56" customHeight="1">
      <c r="A5" s="148"/>
      <c r="B5" s="149"/>
      <c r="C5" s="150"/>
      <c r="D5" s="1132" t="s">
        <v>960</v>
      </c>
      <c r="E5" s="353"/>
      <c r="F5" s="1131"/>
      <c r="G5" s="1131"/>
      <c r="H5" s="1053"/>
      <c r="I5" s="1053"/>
      <c r="J5" s="1053"/>
      <c r="K5" s="350"/>
      <c r="L5" s="151"/>
      <c r="M5" s="151"/>
      <c r="N5" s="408"/>
      <c r="O5" s="151"/>
      <c r="P5" s="151"/>
      <c r="Q5" s="151"/>
      <c r="R5" s="151"/>
      <c r="S5" s="151"/>
      <c r="T5" s="151"/>
      <c r="U5" s="151"/>
      <c r="V5" s="151"/>
      <c r="W5" s="151"/>
      <c r="X5" s="151"/>
      <c r="Z5" s="151"/>
      <c r="AK5" s="408"/>
      <c r="AL5" s="408"/>
      <c r="AM5" s="244"/>
      <c r="AN5" s="208"/>
      <c r="AO5" s="208"/>
      <c r="AP5" s="208"/>
      <c r="AQ5" s="208"/>
      <c r="AR5" s="245"/>
      <c r="AS5" s="208"/>
      <c r="AT5" s="208"/>
      <c r="AU5" s="208"/>
      <c r="AV5" s="208"/>
      <c r="AW5" s="208"/>
      <c r="AX5" s="208"/>
      <c r="AY5" s="208"/>
      <c r="AZ5" s="208"/>
      <c r="BA5" s="92"/>
    </row>
    <row r="6" spans="1:53" s="152" customFormat="1" ht="21" customHeight="1" thickBot="1">
      <c r="A6" s="148"/>
      <c r="B6" s="149"/>
      <c r="C6" s="150"/>
      <c r="E6" s="151"/>
      <c r="F6" s="154"/>
      <c r="G6" s="151"/>
      <c r="H6" s="1053"/>
      <c r="I6" s="1053"/>
      <c r="J6" s="1053"/>
      <c r="K6" s="1047"/>
      <c r="L6" s="151"/>
      <c r="M6" s="151"/>
      <c r="N6" s="408"/>
      <c r="O6" s="151"/>
      <c r="P6" s="151"/>
      <c r="Q6" s="151"/>
      <c r="R6" s="151"/>
      <c r="S6" s="151"/>
      <c r="T6" s="151"/>
      <c r="U6" s="151"/>
      <c r="V6" s="151"/>
      <c r="W6" s="151"/>
      <c r="X6" s="151"/>
      <c r="Z6" s="151"/>
      <c r="AD6" s="1328" t="s">
        <v>497</v>
      </c>
      <c r="AE6" s="1328"/>
      <c r="AF6" s="1328"/>
      <c r="AG6" s="1328"/>
      <c r="AH6" s="1328"/>
      <c r="AI6" s="1328"/>
      <c r="AK6" s="408"/>
      <c r="AL6" s="408"/>
      <c r="AM6" s="244"/>
      <c r="AN6" s="244"/>
      <c r="AO6" s="244"/>
      <c r="AP6" s="244"/>
      <c r="AQ6" s="171"/>
      <c r="AR6" s="244"/>
      <c r="AS6" s="172"/>
      <c r="AT6" s="172"/>
      <c r="AU6" s="172"/>
      <c r="AV6" s="172"/>
      <c r="AW6" s="171"/>
      <c r="AX6" s="171"/>
      <c r="AY6" s="171"/>
      <c r="AZ6" s="171"/>
      <c r="BA6" s="92"/>
    </row>
    <row r="7" spans="1:53" s="152" customFormat="1" ht="23" customHeight="1" thickTop="1">
      <c r="A7" s="148"/>
      <c r="B7" s="149"/>
      <c r="C7" s="150"/>
      <c r="L7" s="151"/>
      <c r="M7" s="151"/>
      <c r="N7" s="408"/>
      <c r="O7" s="151"/>
      <c r="P7" s="151"/>
      <c r="Q7" s="151"/>
      <c r="R7" s="151"/>
      <c r="S7" s="151"/>
      <c r="T7" s="151"/>
      <c r="U7" s="151"/>
      <c r="V7" s="151"/>
      <c r="W7" s="151"/>
      <c r="X7" s="151"/>
      <c r="Z7" s="151"/>
      <c r="AD7" s="1329"/>
      <c r="AE7" s="1329"/>
      <c r="AF7" s="1329"/>
      <c r="AG7" s="1329"/>
      <c r="AH7" s="1329"/>
      <c r="AI7" s="1329"/>
      <c r="AJ7" s="622"/>
      <c r="AK7" s="408"/>
      <c r="AL7" s="408"/>
      <c r="AM7" s="244"/>
      <c r="AN7" s="253"/>
      <c r="AO7" s="173"/>
      <c r="AP7" s="173"/>
      <c r="AQ7" s="174"/>
      <c r="AR7" s="247"/>
      <c r="AS7" s="137"/>
      <c r="AT7" s="1305"/>
      <c r="AU7" s="1306"/>
      <c r="AV7" s="1307"/>
      <c r="AW7" s="92"/>
      <c r="AX7" s="1032"/>
      <c r="AY7" s="1033"/>
      <c r="AZ7" s="1033"/>
      <c r="BA7" s="92"/>
    </row>
    <row r="8" spans="1:53" s="152" customFormat="1" ht="21">
      <c r="A8" s="148"/>
      <c r="B8" s="149"/>
      <c r="C8" s="150"/>
      <c r="E8" s="1129" t="s">
        <v>971</v>
      </c>
      <c r="F8" s="1130"/>
      <c r="G8" s="165"/>
      <c r="H8" s="1053"/>
      <c r="I8" s="1053"/>
      <c r="J8" s="1053"/>
      <c r="K8" s="1047"/>
      <c r="L8" s="151"/>
      <c r="M8" s="151"/>
      <c r="N8" s="408"/>
      <c r="O8" s="151"/>
      <c r="P8" s="151"/>
      <c r="Q8" s="151"/>
      <c r="R8" s="151"/>
      <c r="S8" s="151"/>
      <c r="T8" s="151"/>
      <c r="U8" s="151"/>
      <c r="V8" s="151"/>
      <c r="W8" s="151"/>
      <c r="X8" s="151"/>
      <c r="Z8" s="151"/>
      <c r="AD8" s="1329"/>
      <c r="AE8" s="1329"/>
      <c r="AF8" s="1329"/>
      <c r="AG8" s="1329"/>
      <c r="AH8" s="1329"/>
      <c r="AI8" s="1329"/>
      <c r="AJ8" s="622"/>
      <c r="AK8" s="408"/>
      <c r="AL8" s="408"/>
      <c r="AM8" s="245"/>
      <c r="AN8" s="254"/>
      <c r="AO8" s="133"/>
      <c r="AP8" s="133"/>
      <c r="AQ8" s="175"/>
      <c r="AR8" s="247"/>
      <c r="AS8" s="343" t="s">
        <v>382</v>
      </c>
      <c r="AT8" s="1308" t="s">
        <v>334</v>
      </c>
      <c r="AU8" s="1309"/>
      <c r="AV8" s="1310"/>
      <c r="AW8" s="92"/>
      <c r="AX8" s="1034"/>
      <c r="AY8" s="1034"/>
      <c r="AZ8" s="1034"/>
      <c r="BA8" s="208"/>
    </row>
    <row r="9" spans="1:53" s="152" customFormat="1" ht="19" customHeight="1">
      <c r="A9" s="148"/>
      <c r="B9" s="149"/>
      <c r="C9" s="150"/>
      <c r="E9" s="621"/>
      <c r="F9" s="621"/>
      <c r="G9" s="621"/>
      <c r="H9" s="1053"/>
      <c r="I9" s="1053"/>
      <c r="J9" s="1053"/>
      <c r="K9" s="1047"/>
      <c r="L9" s="151"/>
      <c r="M9" s="151"/>
      <c r="N9" s="408"/>
      <c r="O9" s="151"/>
      <c r="P9" s="151"/>
      <c r="Q9" s="151"/>
      <c r="R9" s="151"/>
      <c r="S9" s="151"/>
      <c r="T9" s="151"/>
      <c r="U9" s="151"/>
      <c r="V9" s="151"/>
      <c r="W9" s="151"/>
      <c r="X9" s="151"/>
      <c r="Z9" s="151"/>
      <c r="AC9" s="622"/>
      <c r="AD9" s="1329"/>
      <c r="AE9" s="1329"/>
      <c r="AF9" s="1329"/>
      <c r="AG9" s="1329"/>
      <c r="AH9" s="1329"/>
      <c r="AI9" s="1329"/>
      <c r="AJ9" s="622"/>
      <c r="AK9" s="408"/>
      <c r="AL9" s="408"/>
      <c r="AM9" s="244"/>
      <c r="AN9" s="254"/>
      <c r="AO9" s="133"/>
      <c r="AP9" s="133"/>
      <c r="AQ9" s="175"/>
      <c r="AR9" s="247"/>
      <c r="AS9" s="138"/>
      <c r="AT9" s="1311"/>
      <c r="AU9" s="1312"/>
      <c r="AV9" s="1313"/>
      <c r="AW9" s="130"/>
      <c r="AX9" s="1034"/>
      <c r="AY9" s="1034"/>
      <c r="AZ9" s="1034"/>
      <c r="BA9" s="171"/>
    </row>
    <row r="10" spans="1:53" s="621" customFormat="1" ht="19" customHeight="1">
      <c r="A10" s="148"/>
      <c r="B10" s="149"/>
      <c r="C10" s="150"/>
      <c r="E10" s="1129" t="s">
        <v>456</v>
      </c>
      <c r="F10" s="1130"/>
      <c r="H10" s="1053"/>
      <c r="I10" s="1053"/>
      <c r="J10" s="1053"/>
      <c r="K10" s="1047"/>
      <c r="L10" s="151"/>
      <c r="M10" s="151"/>
      <c r="N10" s="408"/>
      <c r="O10" s="151"/>
      <c r="P10" s="151"/>
      <c r="Q10" s="151"/>
      <c r="R10" s="151"/>
      <c r="S10" s="151"/>
      <c r="T10" s="151"/>
      <c r="U10" s="151"/>
      <c r="V10" s="151"/>
      <c r="W10" s="151"/>
      <c r="X10" s="151"/>
      <c r="Z10" s="151"/>
      <c r="AC10" s="622"/>
      <c r="AD10" s="1329"/>
      <c r="AE10" s="1329"/>
      <c r="AF10" s="1329"/>
      <c r="AG10" s="1329"/>
      <c r="AH10" s="1329"/>
      <c r="AI10" s="1329"/>
      <c r="AJ10" s="622"/>
      <c r="AK10" s="408"/>
      <c r="AL10" s="408"/>
      <c r="AM10" s="244"/>
      <c r="AN10" s="1062"/>
      <c r="AO10" s="133"/>
      <c r="AP10" s="133"/>
      <c r="AQ10" s="1063"/>
      <c r="AR10" s="247"/>
      <c r="AS10" s="138"/>
      <c r="AT10" s="1036"/>
      <c r="AU10" s="1037"/>
      <c r="AV10" s="1038"/>
      <c r="AW10" s="130"/>
      <c r="AX10" s="1034"/>
      <c r="AY10" s="1034"/>
      <c r="AZ10" s="1034"/>
      <c r="BA10" s="171"/>
    </row>
    <row r="11" spans="1:53" s="152" customFormat="1" ht="23" customHeight="1">
      <c r="A11" s="148"/>
      <c r="B11" s="149"/>
      <c r="C11" s="150"/>
      <c r="D11" s="1055"/>
      <c r="E11" s="1039"/>
      <c r="F11" s="621"/>
      <c r="G11" s="621"/>
      <c r="H11" s="1053"/>
      <c r="I11" s="1053"/>
      <c r="J11" s="1053"/>
      <c r="K11" s="1047"/>
      <c r="L11" s="151"/>
      <c r="M11" s="151"/>
      <c r="N11" s="408"/>
      <c r="O11" s="151"/>
      <c r="P11" s="151"/>
      <c r="Q11" s="151"/>
      <c r="R11" s="151"/>
      <c r="S11" s="151"/>
      <c r="T11" s="151"/>
      <c r="U11" s="151"/>
      <c r="V11" s="151"/>
      <c r="W11" s="151"/>
      <c r="X11" s="151"/>
      <c r="Z11" s="151"/>
      <c r="AC11" s="622"/>
      <c r="AD11" s="1329"/>
      <c r="AE11" s="1329"/>
      <c r="AF11" s="1329"/>
      <c r="AG11" s="1329"/>
      <c r="AH11" s="1329"/>
      <c r="AI11" s="1329"/>
      <c r="AJ11" s="622"/>
      <c r="AK11" s="408"/>
      <c r="AL11" s="408"/>
      <c r="AM11" s="244"/>
      <c r="AN11" s="1064"/>
      <c r="AO11" s="236"/>
      <c r="AP11" s="236"/>
      <c r="AQ11" s="1065"/>
      <c r="AR11" s="248"/>
      <c r="AS11" s="211" t="s">
        <v>974</v>
      </c>
      <c r="AT11" s="1314" t="s">
        <v>975</v>
      </c>
      <c r="AU11" s="1315"/>
      <c r="AV11" s="1316"/>
      <c r="AW11" s="130"/>
      <c r="AX11" s="1034"/>
      <c r="AY11" s="1034"/>
      <c r="AZ11" s="1034"/>
      <c r="BA11" s="1033"/>
    </row>
    <row r="12" spans="1:53" s="152" customFormat="1" ht="18" customHeight="1">
      <c r="A12" s="148"/>
      <c r="B12" s="149"/>
      <c r="C12" s="150"/>
      <c r="D12" s="1110" t="s">
        <v>961</v>
      </c>
      <c r="E12" s="1110"/>
      <c r="F12" s="1110"/>
      <c r="G12" s="1110"/>
      <c r="H12" s="1107"/>
      <c r="I12" s="1107"/>
      <c r="J12" s="1107"/>
      <c r="K12" s="1108"/>
      <c r="L12" s="151"/>
      <c r="M12" s="151"/>
      <c r="N12" s="408"/>
      <c r="O12" s="151"/>
      <c r="P12" s="151"/>
      <c r="Q12" s="151"/>
      <c r="R12" s="151"/>
      <c r="S12" s="151"/>
      <c r="T12" s="151"/>
      <c r="U12" s="151"/>
      <c r="V12" s="151"/>
      <c r="W12" s="151"/>
      <c r="X12" s="151"/>
      <c r="Z12" s="151"/>
      <c r="AC12" s="622"/>
      <c r="AD12" s="1329"/>
      <c r="AE12" s="1329"/>
      <c r="AF12" s="1329"/>
      <c r="AG12" s="1329"/>
      <c r="AH12" s="1329"/>
      <c r="AI12" s="1329"/>
      <c r="AJ12" s="622"/>
      <c r="AK12" s="408"/>
      <c r="AL12" s="408"/>
      <c r="AM12" s="244"/>
      <c r="AN12" s="1062"/>
      <c r="AO12" s="1335" t="s">
        <v>342</v>
      </c>
      <c r="AP12" s="1336"/>
      <c r="AQ12" s="1063"/>
      <c r="AR12" s="247"/>
      <c r="AS12" s="404" t="s">
        <v>387</v>
      </c>
      <c r="AT12" s="1317" t="s">
        <v>385</v>
      </c>
      <c r="AU12" s="1318"/>
      <c r="AV12" s="1319"/>
      <c r="AW12" s="133"/>
      <c r="AX12" s="1034"/>
      <c r="AY12" s="1034"/>
      <c r="AZ12" s="1034"/>
      <c r="BA12" s="1034"/>
    </row>
    <row r="13" spans="1:53" s="152" customFormat="1" ht="23" customHeight="1">
      <c r="A13" s="148"/>
      <c r="B13" s="149"/>
      <c r="C13" s="150"/>
      <c r="L13" s="151"/>
      <c r="M13" s="151"/>
      <c r="N13" s="408"/>
      <c r="O13" s="151"/>
      <c r="P13" s="151"/>
      <c r="Q13" s="151"/>
      <c r="R13" s="151"/>
      <c r="S13" s="151"/>
      <c r="T13" s="151"/>
      <c r="U13" s="151"/>
      <c r="V13" s="151"/>
      <c r="W13" s="151"/>
      <c r="X13" s="151"/>
      <c r="Z13" s="151"/>
      <c r="AC13" s="622"/>
      <c r="AD13" s="1329"/>
      <c r="AE13" s="1329"/>
      <c r="AF13" s="1329"/>
      <c r="AG13" s="1329"/>
      <c r="AH13" s="1329"/>
      <c r="AI13" s="1329"/>
      <c r="AJ13" s="622"/>
      <c r="AK13" s="408"/>
      <c r="AL13" s="408"/>
      <c r="AM13" s="244"/>
      <c r="AN13" s="1066"/>
      <c r="AO13" s="350"/>
      <c r="AP13" s="350"/>
      <c r="AQ13" s="1067"/>
      <c r="AR13" s="249"/>
      <c r="AS13" s="404" t="s">
        <v>384</v>
      </c>
      <c r="AT13" s="1337" t="s">
        <v>384</v>
      </c>
      <c r="AU13" s="1338"/>
      <c r="AV13" s="1339"/>
      <c r="AW13" s="133"/>
      <c r="AX13" s="1034"/>
      <c r="AY13" s="1034"/>
      <c r="AZ13" s="1034"/>
      <c r="BA13" s="1034"/>
    </row>
    <row r="14" spans="1:53" s="152" customFormat="1" ht="23" customHeight="1">
      <c r="A14" s="148"/>
      <c r="B14" s="149"/>
      <c r="C14" s="150"/>
      <c r="E14" s="1128" t="s">
        <v>963</v>
      </c>
      <c r="L14" s="151"/>
      <c r="M14" s="151"/>
      <c r="N14" s="408"/>
      <c r="O14" s="151"/>
      <c r="P14" s="151"/>
      <c r="Q14" s="151"/>
      <c r="R14" s="151"/>
      <c r="S14" s="151"/>
      <c r="T14" s="151"/>
      <c r="U14" s="151"/>
      <c r="V14" s="151"/>
      <c r="W14" s="151"/>
      <c r="X14" s="151"/>
      <c r="Z14" s="151"/>
      <c r="AC14" s="622"/>
      <c r="AD14" s="1329"/>
      <c r="AE14" s="1329"/>
      <c r="AF14" s="1329"/>
      <c r="AG14" s="1329"/>
      <c r="AH14" s="1329"/>
      <c r="AI14" s="1329"/>
      <c r="AJ14" s="622"/>
      <c r="AK14" s="408"/>
      <c r="AL14" s="408"/>
      <c r="AM14" s="244"/>
      <c r="AN14" s="1068"/>
      <c r="AO14" s="1296" t="s">
        <v>345</v>
      </c>
      <c r="AP14" s="1296"/>
      <c r="AQ14" s="1069"/>
      <c r="AR14" s="250"/>
      <c r="AS14" s="403" t="s">
        <v>343</v>
      </c>
      <c r="AT14" s="1340" t="s">
        <v>411</v>
      </c>
      <c r="AU14" s="1341"/>
      <c r="AV14" s="1342"/>
      <c r="AW14" s="133"/>
      <c r="AX14" s="1034"/>
      <c r="AY14" s="1034"/>
      <c r="AZ14" s="1034"/>
      <c r="BA14" s="1034"/>
    </row>
    <row r="15" spans="1:53" s="152" customFormat="1" ht="24" customHeight="1">
      <c r="A15" s="148"/>
      <c r="B15" s="149"/>
      <c r="C15" s="150"/>
      <c r="D15" s="365"/>
      <c r="E15" s="165"/>
      <c r="F15" s="349"/>
      <c r="G15" s="165"/>
      <c r="H15" s="1053"/>
      <c r="I15" s="1047"/>
      <c r="J15" s="1047"/>
      <c r="K15" s="1047"/>
      <c r="L15" s="151"/>
      <c r="M15" s="151"/>
      <c r="N15" s="408"/>
      <c r="O15" s="151"/>
      <c r="P15" s="151"/>
      <c r="Q15" s="151"/>
      <c r="R15" s="151"/>
      <c r="S15" s="151"/>
      <c r="T15" s="151"/>
      <c r="U15" s="151"/>
      <c r="V15" s="151"/>
      <c r="W15" s="151"/>
      <c r="X15" s="151"/>
      <c r="Z15" s="151"/>
      <c r="AC15" s="622"/>
      <c r="AD15" s="1329"/>
      <c r="AE15" s="1329"/>
      <c r="AF15" s="1329"/>
      <c r="AG15" s="1329"/>
      <c r="AH15" s="1329"/>
      <c r="AI15" s="1329"/>
      <c r="AJ15" s="622"/>
      <c r="AK15" s="408"/>
      <c r="AL15" s="408"/>
      <c r="AM15" s="244"/>
      <c r="AN15" s="1068"/>
      <c r="AO15" s="1296"/>
      <c r="AP15" s="1296"/>
      <c r="AQ15" s="1069"/>
      <c r="AR15" s="251"/>
      <c r="AS15" s="403" t="s">
        <v>428</v>
      </c>
      <c r="AT15" s="1343" t="s">
        <v>412</v>
      </c>
      <c r="AU15" s="1341"/>
      <c r="AV15" s="1342"/>
      <c r="AW15" s="133"/>
      <c r="AX15" s="1034"/>
      <c r="AY15" s="1034"/>
      <c r="AZ15" s="1034"/>
      <c r="BA15" s="1034"/>
    </row>
    <row r="16" spans="1:53" s="152" customFormat="1" ht="16" customHeight="1">
      <c r="A16" s="148"/>
      <c r="B16" s="149"/>
      <c r="C16" s="150"/>
      <c r="E16" s="1174" t="s">
        <v>987</v>
      </c>
      <c r="F16" s="348"/>
      <c r="G16" s="165"/>
      <c r="H16" s="1053"/>
      <c r="I16" s="1047"/>
      <c r="J16" s="1047"/>
      <c r="K16" s="1047"/>
      <c r="L16" s="151"/>
      <c r="M16" s="151"/>
      <c r="N16" s="408"/>
      <c r="O16" s="151"/>
      <c r="P16" s="151"/>
      <c r="Q16" s="151"/>
      <c r="R16" s="151"/>
      <c r="S16" s="151"/>
      <c r="T16" s="151"/>
      <c r="U16" s="151"/>
      <c r="V16" s="151"/>
      <c r="W16" s="151"/>
      <c r="X16" s="151"/>
      <c r="Z16" s="151"/>
      <c r="AC16" s="622"/>
      <c r="AD16" s="1330"/>
      <c r="AE16" s="1330"/>
      <c r="AF16" s="1330"/>
      <c r="AG16" s="1330"/>
      <c r="AH16" s="1330"/>
      <c r="AI16" s="1330"/>
      <c r="AJ16" s="622"/>
      <c r="AK16" s="408"/>
      <c r="AL16" s="408"/>
      <c r="AM16" s="244"/>
      <c r="AN16" s="1070"/>
      <c r="AO16" s="1135"/>
      <c r="AP16" s="1135"/>
      <c r="AQ16" s="1071"/>
      <c r="AR16" s="251"/>
      <c r="AS16" s="403" t="s">
        <v>344</v>
      </c>
      <c r="AT16" s="1340" t="s">
        <v>410</v>
      </c>
      <c r="AU16" s="1341"/>
      <c r="AV16" s="1342"/>
      <c r="AW16" s="133"/>
      <c r="AX16" s="1034"/>
      <c r="AY16" s="1034"/>
      <c r="AZ16" s="1034"/>
      <c r="BA16" s="1034"/>
    </row>
    <row r="17" spans="1:53" s="152" customFormat="1" ht="22" customHeight="1">
      <c r="A17" s="148"/>
      <c r="B17" s="149"/>
      <c r="C17" s="150"/>
      <c r="D17" s="1040"/>
      <c r="E17" s="165"/>
      <c r="F17" s="349"/>
      <c r="G17" s="165"/>
      <c r="H17" s="1053"/>
      <c r="I17" s="1047"/>
      <c r="J17" s="1047"/>
      <c r="K17" s="1047"/>
      <c r="L17" s="151"/>
      <c r="M17" s="151"/>
      <c r="N17" s="408"/>
      <c r="O17" s="151"/>
      <c r="P17" s="151"/>
      <c r="Q17" s="151"/>
      <c r="R17" s="151"/>
      <c r="S17" s="151"/>
      <c r="T17" s="151"/>
      <c r="U17" s="151"/>
      <c r="V17" s="151"/>
      <c r="W17" s="151"/>
      <c r="X17" s="151"/>
      <c r="Z17" s="151"/>
      <c r="AC17" s="622"/>
      <c r="AD17" s="622"/>
      <c r="AE17" s="622"/>
      <c r="AF17" s="622"/>
      <c r="AG17" s="622"/>
      <c r="AH17" s="622"/>
      <c r="AI17" s="622"/>
      <c r="AJ17" s="622"/>
      <c r="AK17" s="408"/>
      <c r="AL17" s="408"/>
      <c r="AM17" s="244"/>
      <c r="AN17" s="1068"/>
      <c r="AO17" s="1296" t="s">
        <v>346</v>
      </c>
      <c r="AP17" s="1296"/>
      <c r="AQ17" s="1072"/>
      <c r="AR17" s="252"/>
      <c r="AS17" s="403" t="s">
        <v>408</v>
      </c>
      <c r="AT17" s="1317" t="s">
        <v>401</v>
      </c>
      <c r="AU17" s="1318"/>
      <c r="AV17" s="1319"/>
      <c r="AW17" s="133"/>
      <c r="AX17" s="1034"/>
      <c r="AY17" s="1034"/>
      <c r="AZ17" s="1034"/>
      <c r="BA17" s="1034"/>
    </row>
    <row r="18" spans="1:53" s="152" customFormat="1" ht="19" customHeight="1">
      <c r="A18" s="148"/>
      <c r="B18" s="400"/>
      <c r="C18" s="401"/>
      <c r="D18" s="378"/>
      <c r="E18" s="165"/>
      <c r="F18" s="349"/>
      <c r="G18" s="165"/>
      <c r="H18" s="1053"/>
      <c r="I18" s="1047"/>
      <c r="J18" s="1047"/>
      <c r="K18" s="1047"/>
      <c r="L18" s="151"/>
      <c r="M18" s="151"/>
      <c r="N18" s="408"/>
      <c r="O18" s="151"/>
      <c r="P18" s="151"/>
      <c r="Q18" s="151"/>
      <c r="R18" s="151"/>
      <c r="S18" s="151"/>
      <c r="T18" s="151"/>
      <c r="U18" s="151"/>
      <c r="V18" s="151"/>
      <c r="W18" s="151"/>
      <c r="X18" s="151"/>
      <c r="Z18" s="151"/>
      <c r="AC18" s="407"/>
      <c r="AD18" s="622"/>
      <c r="AE18" s="622"/>
      <c r="AF18" s="622"/>
      <c r="AG18" s="622"/>
      <c r="AH18" s="622"/>
      <c r="AI18" s="622"/>
      <c r="AJ18" s="407"/>
      <c r="AK18" s="408"/>
      <c r="AL18" s="408"/>
      <c r="AM18" s="244"/>
      <c r="AN18" s="1073"/>
      <c r="AO18" s="1296"/>
      <c r="AP18" s="1296"/>
      <c r="AQ18" s="1074"/>
      <c r="AR18" s="244"/>
      <c r="AS18" s="403" t="s">
        <v>409</v>
      </c>
      <c r="AT18" s="1317" t="s">
        <v>402</v>
      </c>
      <c r="AU18" s="1318"/>
      <c r="AV18" s="1319"/>
      <c r="AW18" s="133"/>
      <c r="AX18" s="1034"/>
      <c r="AY18" s="1034"/>
      <c r="AZ18" s="1034"/>
      <c r="BA18" s="1034"/>
    </row>
    <row r="19" spans="1:53" s="152" customFormat="1" ht="23" customHeight="1">
      <c r="A19" s="148"/>
      <c r="B19" s="149"/>
      <c r="C19" s="150"/>
      <c r="D19" s="1109" t="s">
        <v>495</v>
      </c>
      <c r="E19" s="372"/>
      <c r="F19" s="371"/>
      <c r="G19" s="371"/>
      <c r="H19" s="1107"/>
      <c r="I19" s="1108"/>
      <c r="J19" s="1108"/>
      <c r="K19" s="1108"/>
      <c r="L19" s="151"/>
      <c r="M19" s="151"/>
      <c r="N19" s="408"/>
      <c r="O19" s="151"/>
      <c r="P19" s="151"/>
      <c r="Q19" s="151"/>
      <c r="R19" s="151"/>
      <c r="S19" s="1331" t="s">
        <v>973</v>
      </c>
      <c r="T19" s="1332"/>
      <c r="U19" s="1332"/>
      <c r="V19" s="1332"/>
      <c r="W19" s="1332"/>
      <c r="X19" s="1332"/>
      <c r="Y19" s="1332"/>
      <c r="Z19" s="1332"/>
      <c r="AA19" s="1332"/>
      <c r="AC19" s="407"/>
      <c r="AD19" s="622"/>
      <c r="AE19" s="622"/>
      <c r="AF19" s="622"/>
      <c r="AG19" s="622"/>
      <c r="AH19" s="622"/>
      <c r="AI19" s="622"/>
      <c r="AJ19" s="407"/>
      <c r="AK19" s="408"/>
      <c r="AL19" s="408"/>
      <c r="AM19" s="244"/>
      <c r="AN19" s="1075"/>
      <c r="AO19" s="1136"/>
      <c r="AP19" s="1136"/>
      <c r="AQ19" s="1076"/>
      <c r="AR19" s="246"/>
      <c r="AS19" s="139" t="s">
        <v>407</v>
      </c>
      <c r="AT19" s="1320" t="s">
        <v>403</v>
      </c>
      <c r="AU19" s="1321"/>
      <c r="AV19" s="1322"/>
      <c r="AW19" s="212"/>
      <c r="AX19" s="1034"/>
      <c r="AY19" s="1034"/>
      <c r="AZ19" s="1034"/>
      <c r="BA19" s="1034"/>
    </row>
    <row r="20" spans="1:53" s="152" customFormat="1" ht="19" customHeight="1">
      <c r="A20" s="148"/>
      <c r="B20" s="149"/>
      <c r="C20" s="150"/>
      <c r="D20" s="237"/>
      <c r="F20" s="351"/>
      <c r="H20" s="1053"/>
      <c r="I20" s="1047"/>
      <c r="J20" s="1047"/>
      <c r="K20" s="1047"/>
      <c r="L20" s="151"/>
      <c r="M20" s="151"/>
      <c r="N20" s="408"/>
      <c r="O20" s="151"/>
      <c r="P20" s="151"/>
      <c r="Q20" s="151"/>
      <c r="R20" s="151"/>
      <c r="S20" s="1333"/>
      <c r="T20" s="1333"/>
      <c r="U20" s="1333"/>
      <c r="V20" s="1333"/>
      <c r="W20" s="1333"/>
      <c r="X20" s="1333"/>
      <c r="Y20" s="1333"/>
      <c r="Z20" s="1333"/>
      <c r="AA20" s="1333"/>
      <c r="AC20" s="407"/>
      <c r="AD20" s="622"/>
      <c r="AE20" s="622"/>
      <c r="AF20" s="622"/>
      <c r="AG20" s="622"/>
      <c r="AH20" s="622"/>
      <c r="AI20" s="622"/>
      <c r="AJ20" s="407"/>
      <c r="AK20" s="408"/>
      <c r="AL20" s="408"/>
      <c r="AM20" s="244"/>
      <c r="AN20" s="1073"/>
      <c r="AO20" s="1296" t="s">
        <v>347</v>
      </c>
      <c r="AP20" s="1296"/>
      <c r="AQ20" s="1077"/>
      <c r="AR20" s="244"/>
      <c r="AS20" s="210" t="s">
        <v>335</v>
      </c>
      <c r="AT20" s="1323" t="s">
        <v>350</v>
      </c>
      <c r="AU20" s="1324"/>
      <c r="AV20" s="1325"/>
      <c r="AW20" s="92"/>
      <c r="AX20" s="1035"/>
      <c r="AY20" s="1035"/>
      <c r="AZ20" s="1035"/>
      <c r="BA20" s="1034"/>
    </row>
    <row r="21" spans="1:53" s="204" customFormat="1" ht="23" customHeight="1">
      <c r="A21" s="148"/>
      <c r="B21" s="149"/>
      <c r="C21" s="150"/>
      <c r="D21" s="152"/>
      <c r="E21" s="1048" t="s">
        <v>496</v>
      </c>
      <c r="F21" s="350"/>
      <c r="G21" s="165"/>
      <c r="H21" s="1053"/>
      <c r="I21" s="1047"/>
      <c r="J21" s="1047"/>
      <c r="K21" s="1047"/>
      <c r="L21" s="201"/>
      <c r="M21" s="201"/>
      <c r="N21" s="408"/>
      <c r="O21" s="201"/>
      <c r="P21" s="201"/>
      <c r="Q21" s="201"/>
      <c r="R21" s="201"/>
      <c r="S21" s="1333"/>
      <c r="T21" s="1333"/>
      <c r="U21" s="1333"/>
      <c r="V21" s="1333"/>
      <c r="W21" s="1333"/>
      <c r="X21" s="1333"/>
      <c r="Y21" s="1333"/>
      <c r="Z21" s="1333"/>
      <c r="AA21" s="1333"/>
      <c r="AC21" s="407"/>
      <c r="AD21" s="407"/>
      <c r="AE21" s="407"/>
      <c r="AF21" s="407"/>
      <c r="AG21" s="407"/>
      <c r="AH21" s="407"/>
      <c r="AI21" s="407"/>
      <c r="AJ21" s="407"/>
      <c r="AK21" s="408"/>
      <c r="AL21" s="408"/>
      <c r="AM21" s="244"/>
      <c r="AN21" s="1073"/>
      <c r="AO21" s="1296"/>
      <c r="AP21" s="1296"/>
      <c r="AQ21" s="1074"/>
      <c r="AR21" s="244"/>
      <c r="AS21" s="210" t="s">
        <v>336</v>
      </c>
      <c r="AT21" s="1317" t="s">
        <v>339</v>
      </c>
      <c r="AU21" s="1326"/>
      <c r="AV21" s="1327"/>
      <c r="AW21" s="92"/>
      <c r="AX21" s="1035"/>
      <c r="AY21" s="1035"/>
      <c r="AZ21" s="1035"/>
      <c r="BA21" s="1034"/>
    </row>
    <row r="22" spans="1:53" s="152" customFormat="1" ht="29" customHeight="1">
      <c r="A22" s="148"/>
      <c r="B22" s="149"/>
      <c r="C22" s="150"/>
      <c r="E22" s="1061"/>
      <c r="F22" s="352"/>
      <c r="G22" s="198" t="s">
        <v>458</v>
      </c>
      <c r="H22" s="1053"/>
      <c r="I22" s="1047"/>
      <c r="J22" s="1047"/>
      <c r="K22" s="1047"/>
      <c r="L22" s="151"/>
      <c r="M22" s="151"/>
      <c r="N22" s="408"/>
      <c r="O22" s="151"/>
      <c r="P22" s="151"/>
      <c r="Q22" s="151"/>
      <c r="R22" s="151"/>
      <c r="S22" s="1333"/>
      <c r="T22" s="1333"/>
      <c r="U22" s="1333"/>
      <c r="V22" s="1333"/>
      <c r="W22" s="1333"/>
      <c r="X22" s="1333"/>
      <c r="Y22" s="1333"/>
      <c r="Z22" s="1333"/>
      <c r="AA22" s="1333"/>
      <c r="AC22" s="407"/>
      <c r="AD22" s="407"/>
      <c r="AE22" s="407"/>
      <c r="AF22" s="407"/>
      <c r="AG22" s="407"/>
      <c r="AH22" s="407"/>
      <c r="AI22" s="407"/>
      <c r="AJ22" s="407"/>
      <c r="AK22" s="408"/>
      <c r="AL22" s="408"/>
      <c r="AM22" s="246"/>
      <c r="AN22" s="1073"/>
      <c r="AO22" s="1137"/>
      <c r="AP22" s="1137"/>
      <c r="AQ22" s="1074"/>
      <c r="AR22" s="244"/>
      <c r="AS22" s="210" t="s">
        <v>337</v>
      </c>
      <c r="AT22" s="186"/>
      <c r="AU22" s="187"/>
      <c r="AV22" s="188"/>
      <c r="AW22" s="92"/>
      <c r="AX22" s="92"/>
      <c r="AY22" s="92"/>
      <c r="AZ22" s="92"/>
      <c r="BA22" s="1034"/>
    </row>
    <row r="23" spans="1:53" s="152" customFormat="1" ht="38" customHeight="1">
      <c r="A23" s="148"/>
      <c r="B23" s="126"/>
      <c r="C23" s="151"/>
      <c r="E23" s="200"/>
      <c r="F23" s="353"/>
      <c r="G23" s="198" t="s">
        <v>457</v>
      </c>
      <c r="H23" s="1053"/>
      <c r="I23" s="1047"/>
      <c r="J23" s="1047"/>
      <c r="K23" s="1047"/>
      <c r="L23" s="151"/>
      <c r="M23" s="151"/>
      <c r="N23" s="408"/>
      <c r="O23" s="151"/>
      <c r="P23" s="151"/>
      <c r="Q23" s="151"/>
      <c r="R23" s="151"/>
      <c r="S23" s="1333"/>
      <c r="T23" s="1333"/>
      <c r="U23" s="1333"/>
      <c r="V23" s="1333"/>
      <c r="W23" s="1333"/>
      <c r="X23" s="1333"/>
      <c r="Y23" s="1333"/>
      <c r="Z23" s="1333"/>
      <c r="AA23" s="1333"/>
      <c r="AC23" s="407"/>
      <c r="AD23" s="407"/>
      <c r="AE23" s="407"/>
      <c r="AF23" s="407"/>
      <c r="AG23" s="407"/>
      <c r="AH23" s="407"/>
      <c r="AI23" s="407"/>
      <c r="AJ23" s="407"/>
      <c r="AK23" s="408"/>
      <c r="AL23" s="408"/>
      <c r="AM23" s="244"/>
      <c r="AN23" s="1078"/>
      <c r="AO23" s="1291" t="s">
        <v>348</v>
      </c>
      <c r="AP23" s="1291"/>
      <c r="AQ23" s="1079"/>
      <c r="AR23" s="244"/>
      <c r="AS23" s="210" t="s">
        <v>338</v>
      </c>
      <c r="AT23" s="211"/>
      <c r="AU23" s="133"/>
      <c r="AV23" s="134"/>
      <c r="AW23" s="92"/>
      <c r="AX23" s="92"/>
      <c r="AY23" s="92"/>
      <c r="AZ23" s="92"/>
      <c r="BA23" s="1035"/>
    </row>
    <row r="24" spans="1:53" s="152" customFormat="1" ht="30" customHeight="1">
      <c r="A24" s="148"/>
      <c r="B24" s="126"/>
      <c r="C24" s="151"/>
      <c r="E24" s="199"/>
      <c r="F24" s="350"/>
      <c r="G24" s="198" t="s">
        <v>459</v>
      </c>
      <c r="H24" s="1053"/>
      <c r="I24" s="1047"/>
      <c r="J24" s="1047"/>
      <c r="K24" s="1047"/>
      <c r="L24" s="151"/>
      <c r="M24" s="151"/>
      <c r="N24" s="408"/>
      <c r="O24" s="151"/>
      <c r="P24" s="151"/>
      <c r="Q24" s="151"/>
      <c r="R24" s="151"/>
      <c r="S24" s="1333"/>
      <c r="T24" s="1333"/>
      <c r="U24" s="1333"/>
      <c r="V24" s="1333"/>
      <c r="W24" s="1333"/>
      <c r="X24" s="1333"/>
      <c r="Y24" s="1333"/>
      <c r="Z24" s="1333"/>
      <c r="AA24" s="1333"/>
      <c r="AC24" s="407"/>
      <c r="AD24" s="407"/>
      <c r="AE24" s="407"/>
      <c r="AF24" s="407"/>
      <c r="AG24" s="407"/>
      <c r="AH24" s="407"/>
      <c r="AI24" s="407"/>
      <c r="AJ24" s="407"/>
      <c r="AK24" s="408"/>
      <c r="AL24" s="408"/>
      <c r="AM24" s="244"/>
      <c r="AN24" s="1080"/>
      <c r="AO24" s="1291"/>
      <c r="AP24" s="1291"/>
      <c r="AQ24" s="1081"/>
      <c r="AR24" s="244"/>
      <c r="AS24" s="210" t="s">
        <v>340</v>
      </c>
      <c r="AT24" s="130"/>
      <c r="AU24" s="133"/>
      <c r="AV24" s="134"/>
      <c r="AW24" s="92"/>
      <c r="AX24" s="92"/>
      <c r="AY24" s="92"/>
      <c r="AZ24" s="92"/>
      <c r="BA24" s="1035"/>
    </row>
    <row r="25" spans="1:53" s="152" customFormat="1" ht="39" customHeight="1" thickBot="1">
      <c r="A25" s="148"/>
      <c r="B25" s="126"/>
      <c r="C25" s="151"/>
      <c r="E25" s="1113" t="s">
        <v>376</v>
      </c>
      <c r="F25" s="350"/>
      <c r="G25" s="198" t="s">
        <v>460</v>
      </c>
      <c r="H25" s="1053"/>
      <c r="I25" s="1047"/>
      <c r="J25" s="1047"/>
      <c r="K25" s="1047"/>
      <c r="L25" s="151"/>
      <c r="M25" s="151"/>
      <c r="N25" s="408"/>
      <c r="O25" s="151"/>
      <c r="P25" s="151"/>
      <c r="Q25" s="151"/>
      <c r="R25" s="151"/>
      <c r="S25" s="1334"/>
      <c r="T25" s="1334"/>
      <c r="U25" s="1334"/>
      <c r="V25" s="1334"/>
      <c r="W25" s="1334"/>
      <c r="X25" s="1334"/>
      <c r="Y25" s="1334"/>
      <c r="Z25" s="1334"/>
      <c r="AA25" s="1334"/>
      <c r="AK25" s="408"/>
      <c r="AL25" s="408"/>
      <c r="AM25" s="244"/>
      <c r="AN25" s="1082"/>
      <c r="AO25" s="1138"/>
      <c r="AP25" s="1138"/>
      <c r="AQ25" s="1083"/>
      <c r="AR25" s="244"/>
      <c r="AS25" s="209"/>
      <c r="AT25" s="186"/>
      <c r="AU25" s="187"/>
      <c r="AV25" s="188"/>
      <c r="AW25" s="92"/>
      <c r="AX25" s="92"/>
      <c r="AY25" s="92"/>
      <c r="AZ25" s="92"/>
      <c r="BA25" s="92"/>
    </row>
    <row r="26" spans="1:53" s="152" customFormat="1" ht="38" customHeight="1">
      <c r="A26" s="148"/>
      <c r="B26" s="126"/>
      <c r="C26" s="151"/>
      <c r="D26" s="153"/>
      <c r="E26" s="200"/>
      <c r="F26" s="353"/>
      <c r="G26" s="198" t="s">
        <v>461</v>
      </c>
      <c r="H26" s="1053"/>
      <c r="I26" s="1047"/>
      <c r="J26" s="1047"/>
      <c r="K26" s="1047"/>
      <c r="L26" s="151"/>
      <c r="M26" s="151"/>
      <c r="N26" s="408"/>
      <c r="O26" s="151"/>
      <c r="P26" s="151"/>
      <c r="Q26" s="151"/>
      <c r="R26" s="151"/>
      <c r="S26" s="151"/>
      <c r="T26" s="151"/>
      <c r="U26" s="151"/>
      <c r="V26" s="151"/>
      <c r="W26" s="151"/>
      <c r="X26" s="151"/>
      <c r="Z26" s="151"/>
      <c r="AA26" s="151"/>
      <c r="AK26" s="408"/>
      <c r="AL26" s="408"/>
      <c r="AM26" s="244"/>
      <c r="AN26" s="244"/>
      <c r="AO26" s="244"/>
      <c r="AP26" s="244"/>
      <c r="AQ26" s="92"/>
      <c r="AR26" s="339"/>
      <c r="AS26" s="338" t="s">
        <v>349</v>
      </c>
      <c r="AT26" s="186"/>
      <c r="AU26" s="187"/>
      <c r="AV26" s="188"/>
      <c r="AW26" s="92"/>
      <c r="AX26" s="92"/>
      <c r="AY26" s="92"/>
      <c r="AZ26" s="92"/>
      <c r="BA26" s="92"/>
    </row>
    <row r="27" spans="1:53" s="152" customFormat="1" ht="20" customHeight="1">
      <c r="A27" s="148"/>
      <c r="B27" s="126"/>
      <c r="C27" s="151"/>
      <c r="D27" s="202"/>
      <c r="E27" s="200"/>
      <c r="F27" s="353"/>
      <c r="G27" s="237" t="s">
        <v>981</v>
      </c>
      <c r="H27" s="1053"/>
      <c r="I27" s="1047"/>
      <c r="J27" s="1047"/>
      <c r="K27" s="1047"/>
      <c r="L27" s="151"/>
      <c r="M27" s="151"/>
      <c r="N27" s="408"/>
      <c r="O27" s="151"/>
      <c r="P27" s="151"/>
      <c r="Q27" s="151"/>
      <c r="R27" s="151"/>
      <c r="S27" s="151"/>
      <c r="T27" s="151"/>
      <c r="U27" s="151"/>
      <c r="V27" s="151"/>
      <c r="W27" s="151"/>
      <c r="X27" s="151"/>
      <c r="Z27" s="151"/>
      <c r="AA27" s="151"/>
      <c r="AK27" s="408"/>
      <c r="AL27" s="408"/>
      <c r="AM27" s="244"/>
      <c r="AN27" s="244"/>
      <c r="AO27" s="244"/>
      <c r="AP27" s="244"/>
      <c r="AQ27" s="92"/>
      <c r="AR27" s="339"/>
      <c r="AS27" s="134"/>
      <c r="AT27" s="187"/>
      <c r="AU27" s="187"/>
      <c r="AV27" s="188"/>
      <c r="AW27" s="92"/>
      <c r="AX27" s="92"/>
      <c r="AY27" s="92"/>
      <c r="AZ27" s="92"/>
      <c r="BA27" s="92"/>
    </row>
    <row r="28" spans="1:53" s="152" customFormat="1" ht="29" customHeight="1">
      <c r="A28" s="148"/>
      <c r="B28" s="126"/>
      <c r="C28" s="151"/>
      <c r="D28" s="202"/>
      <c r="E28" s="200"/>
      <c r="F28" s="353"/>
      <c r="G28" s="237"/>
      <c r="H28" s="1053"/>
      <c r="I28" s="1047"/>
      <c r="J28" s="1047"/>
      <c r="K28" s="1047"/>
      <c r="L28" s="151"/>
      <c r="M28" s="151"/>
      <c r="N28" s="408"/>
      <c r="O28" s="151"/>
      <c r="P28" s="151"/>
      <c r="Q28" s="151"/>
      <c r="R28" s="151"/>
      <c r="S28" s="151"/>
      <c r="T28" s="151"/>
      <c r="U28" s="151"/>
      <c r="V28" s="151"/>
      <c r="W28" s="151"/>
      <c r="X28" s="151"/>
      <c r="Z28" s="151"/>
      <c r="AA28" s="151"/>
      <c r="AK28" s="408"/>
      <c r="AL28" s="408"/>
      <c r="AM28" s="244"/>
      <c r="AN28" s="244"/>
      <c r="AO28" s="244"/>
      <c r="AP28" s="244"/>
      <c r="AQ28" s="92"/>
      <c r="AR28" s="244"/>
      <c r="AS28" s="340" t="s">
        <v>383</v>
      </c>
      <c r="AT28" s="133"/>
      <c r="AU28" s="133"/>
      <c r="AV28" s="134"/>
      <c r="AW28" s="92"/>
      <c r="AX28" s="92"/>
      <c r="AY28" s="92"/>
      <c r="AZ28" s="92"/>
      <c r="BA28" s="92"/>
    </row>
    <row r="29" spans="1:53" s="152" customFormat="1" ht="20" customHeight="1">
      <c r="A29" s="148"/>
      <c r="B29" s="126"/>
      <c r="C29" s="151"/>
      <c r="D29" s="202"/>
      <c r="E29" s="203"/>
      <c r="F29" s="353"/>
      <c r="G29" s="346"/>
      <c r="H29" s="1053"/>
      <c r="I29" s="1047"/>
      <c r="J29" s="1047"/>
      <c r="K29" s="1047"/>
      <c r="L29" s="151"/>
      <c r="M29" s="151"/>
      <c r="N29" s="408"/>
      <c r="O29" s="151"/>
      <c r="P29" s="151"/>
      <c r="Q29" s="151"/>
      <c r="R29" s="151"/>
      <c r="S29" s="151"/>
      <c r="T29" s="151"/>
      <c r="U29" s="151"/>
      <c r="V29" s="151"/>
      <c r="W29" s="151"/>
      <c r="X29" s="151"/>
      <c r="Z29" s="151"/>
      <c r="AA29" s="151"/>
      <c r="AK29" s="408"/>
      <c r="AL29" s="408"/>
      <c r="AM29" s="244"/>
      <c r="AN29" s="244"/>
      <c r="AO29" s="244"/>
      <c r="AP29" s="244"/>
      <c r="AQ29" s="92"/>
      <c r="AR29" s="244"/>
      <c r="AS29" s="404" t="s">
        <v>386</v>
      </c>
      <c r="AT29" s="130"/>
      <c r="AU29" s="133"/>
      <c r="AV29" s="134"/>
      <c r="AW29" s="133"/>
      <c r="AX29" s="92"/>
      <c r="AY29" s="92"/>
      <c r="AZ29" s="92"/>
      <c r="BA29" s="92"/>
    </row>
    <row r="30" spans="1:53" s="152" customFormat="1" ht="20">
      <c r="A30" s="148"/>
      <c r="B30" s="168"/>
      <c r="C30" s="201"/>
      <c r="D30" s="151"/>
      <c r="E30" s="1134" t="s">
        <v>966</v>
      </c>
      <c r="F30" s="156"/>
      <c r="H30" s="1053"/>
      <c r="J30" s="1053"/>
      <c r="K30" s="1047"/>
      <c r="L30" s="151"/>
      <c r="M30" s="151"/>
      <c r="N30" s="408"/>
      <c r="O30" s="151"/>
      <c r="P30" s="151"/>
      <c r="Q30" s="151"/>
      <c r="R30" s="151"/>
      <c r="S30" s="151"/>
      <c r="T30" s="151"/>
      <c r="U30" s="151"/>
      <c r="V30" s="151"/>
      <c r="W30" s="151"/>
      <c r="X30" s="151"/>
      <c r="Y30" s="621"/>
      <c r="Z30" s="151"/>
      <c r="AA30" s="151"/>
      <c r="AB30" s="621"/>
      <c r="AC30" s="621"/>
      <c r="AK30" s="408"/>
      <c r="AL30" s="408"/>
      <c r="AM30" s="244"/>
      <c r="AN30" s="244"/>
      <c r="AO30" s="244"/>
      <c r="AP30" s="247"/>
      <c r="AQ30" s="92"/>
      <c r="AR30" s="244"/>
      <c r="AS30" s="404" t="s">
        <v>384</v>
      </c>
      <c r="AT30" s="1297"/>
      <c r="AU30" s="1298"/>
      <c r="AV30" s="1299"/>
      <c r="AW30" s="92"/>
      <c r="AX30" s="92"/>
      <c r="AY30" s="92"/>
      <c r="AZ30" s="92"/>
      <c r="BA30" s="92"/>
    </row>
    <row r="31" spans="1:53" s="152" customFormat="1" ht="27" customHeight="1">
      <c r="A31" s="148"/>
      <c r="B31" s="168"/>
      <c r="C31" s="201"/>
      <c r="D31" s="151"/>
      <c r="E31" s="238" t="s">
        <v>474</v>
      </c>
      <c r="F31" s="156"/>
      <c r="G31" s="167"/>
      <c r="H31" s="1053"/>
      <c r="J31" s="1053"/>
      <c r="K31" s="1047"/>
      <c r="L31" s="151"/>
      <c r="M31" s="151"/>
      <c r="N31" s="408"/>
      <c r="O31" s="151"/>
      <c r="P31" s="151"/>
      <c r="Q31" s="151"/>
      <c r="R31" s="151"/>
      <c r="S31" s="151"/>
      <c r="T31" s="621"/>
      <c r="U31" s="622"/>
      <c r="V31" s="622"/>
      <c r="W31" s="622"/>
      <c r="X31" s="622"/>
      <c r="Y31" s="622"/>
      <c r="Z31" s="622"/>
      <c r="AA31" s="622"/>
      <c r="AB31" s="622"/>
      <c r="AC31" s="621"/>
      <c r="AK31" s="408"/>
      <c r="AL31" s="408"/>
      <c r="AM31" s="244"/>
      <c r="AN31" s="244"/>
      <c r="AO31" s="244"/>
      <c r="AP31" s="244"/>
      <c r="AQ31" s="92"/>
      <c r="AR31" s="244"/>
      <c r="AS31" s="403" t="s">
        <v>406</v>
      </c>
      <c r="AT31" s="1300"/>
      <c r="AU31" s="1301"/>
      <c r="AV31" s="1302"/>
      <c r="AW31" s="92"/>
      <c r="AX31" s="92"/>
      <c r="AY31" s="92"/>
      <c r="AZ31" s="92"/>
      <c r="BA31" s="92"/>
    </row>
    <row r="32" spans="1:53" s="152" customFormat="1" ht="20" customHeight="1">
      <c r="A32" s="148"/>
      <c r="B32" s="168"/>
      <c r="C32" s="201"/>
      <c r="D32" s="1119"/>
      <c r="F32" s="1120"/>
      <c r="G32" s="353"/>
      <c r="H32" s="1053"/>
      <c r="I32" s="350"/>
      <c r="J32" s="1053"/>
      <c r="K32" s="1121"/>
      <c r="L32" s="151"/>
      <c r="M32" s="151"/>
      <c r="N32" s="408"/>
      <c r="O32" s="151"/>
      <c r="P32" s="151"/>
      <c r="Q32" s="151"/>
      <c r="R32" s="151"/>
      <c r="S32" s="151"/>
      <c r="T32" s="622"/>
      <c r="U32" s="622"/>
      <c r="V32" s="622"/>
      <c r="W32" s="622"/>
      <c r="X32" s="622"/>
      <c r="Y32" s="622"/>
      <c r="Z32" s="622"/>
      <c r="AA32" s="622"/>
      <c r="AB32" s="622"/>
      <c r="AC32" s="621"/>
      <c r="AK32" s="408"/>
      <c r="AL32" s="408"/>
      <c r="AM32" s="244"/>
      <c r="AN32" s="244"/>
      <c r="AO32" s="244"/>
      <c r="AP32" s="244"/>
      <c r="AQ32" s="92"/>
      <c r="AR32" s="244"/>
      <c r="AS32" s="242" t="s">
        <v>405</v>
      </c>
      <c r="AT32" s="135"/>
      <c r="AU32" s="131"/>
      <c r="AV32" s="132"/>
      <c r="AW32" s="92"/>
      <c r="AX32" s="92"/>
      <c r="AY32" s="92"/>
      <c r="AZ32" s="92"/>
      <c r="BA32" s="92"/>
    </row>
    <row r="33" spans="1:53" s="204" customFormat="1" ht="15" customHeight="1">
      <c r="A33" s="148"/>
      <c r="B33" s="168"/>
      <c r="C33" s="201"/>
      <c r="D33" s="151"/>
      <c r="E33" s="238"/>
      <c r="F33" s="354"/>
      <c r="G33" s="165"/>
      <c r="H33" s="1053"/>
      <c r="I33" s="152"/>
      <c r="J33" s="1053"/>
      <c r="K33" s="1047"/>
      <c r="L33" s="201"/>
      <c r="M33" s="201"/>
      <c r="N33" s="408"/>
      <c r="O33" s="201"/>
      <c r="P33" s="201"/>
      <c r="Q33" s="201"/>
      <c r="R33" s="201"/>
      <c r="S33" s="201"/>
      <c r="T33" s="622"/>
      <c r="U33" s="622"/>
      <c r="V33" s="622"/>
      <c r="W33" s="622"/>
      <c r="X33" s="622"/>
      <c r="Y33" s="622"/>
      <c r="Z33" s="622"/>
      <c r="AA33" s="622"/>
      <c r="AB33" s="622"/>
      <c r="AK33" s="408"/>
      <c r="AL33" s="408"/>
      <c r="AM33" s="244"/>
      <c r="AN33" s="244"/>
      <c r="AO33" s="244"/>
      <c r="AP33" s="244"/>
      <c r="AQ33" s="92"/>
      <c r="AR33" s="244"/>
      <c r="AS33" s="403" t="s">
        <v>404</v>
      </c>
      <c r="AT33" s="135"/>
      <c r="AU33" s="1301"/>
      <c r="AV33" s="1302"/>
      <c r="AW33" s="92"/>
      <c r="AX33" s="92"/>
      <c r="AY33" s="92"/>
      <c r="AZ33" s="92"/>
      <c r="BA33" s="92"/>
    </row>
    <row r="34" spans="1:53" s="204" customFormat="1" ht="44" customHeight="1">
      <c r="A34" s="148"/>
      <c r="B34" s="126"/>
      <c r="C34" s="151"/>
      <c r="E34" s="1125" t="s">
        <v>967</v>
      </c>
      <c r="G34" s="1126" t="s">
        <v>430</v>
      </c>
      <c r="H34" s="1053"/>
      <c r="I34" s="152"/>
      <c r="J34" s="1053"/>
      <c r="K34" s="1127" t="s">
        <v>471</v>
      </c>
      <c r="L34" s="201"/>
      <c r="M34" s="201"/>
      <c r="N34" s="408"/>
      <c r="O34" s="201"/>
      <c r="P34" s="201"/>
      <c r="Q34" s="201"/>
      <c r="R34" s="201"/>
      <c r="S34" s="201"/>
      <c r="T34" s="622"/>
      <c r="U34" s="622"/>
      <c r="V34" s="622"/>
      <c r="W34" s="622"/>
      <c r="X34" s="622"/>
      <c r="Y34" s="622"/>
      <c r="Z34" s="622"/>
      <c r="AA34" s="622"/>
      <c r="AB34" s="622"/>
      <c r="AK34" s="408"/>
      <c r="AL34" s="408"/>
      <c r="AM34" s="244"/>
      <c r="AN34" s="244"/>
      <c r="AO34" s="244"/>
      <c r="AP34" s="244"/>
      <c r="AQ34" s="92"/>
      <c r="AR34" s="244"/>
      <c r="AS34" s="403" t="s">
        <v>416</v>
      </c>
      <c r="AT34" s="135"/>
      <c r="AU34" s="1301"/>
      <c r="AV34" s="1302"/>
      <c r="AW34" s="92"/>
      <c r="AX34" s="92"/>
      <c r="AY34" s="92"/>
      <c r="AZ34" s="92"/>
      <c r="BA34" s="92"/>
    </row>
    <row r="35" spans="1:53" s="204" customFormat="1" ht="16" customHeight="1">
      <c r="A35" s="148"/>
      <c r="B35" s="126"/>
      <c r="C35" s="151"/>
      <c r="H35" s="1053"/>
      <c r="I35" s="152"/>
      <c r="J35" s="1053"/>
      <c r="K35" s="1047"/>
      <c r="L35" s="201"/>
      <c r="M35" s="201"/>
      <c r="N35" s="408"/>
      <c r="O35" s="201"/>
      <c r="P35" s="201"/>
      <c r="Q35" s="201"/>
      <c r="R35" s="201"/>
      <c r="S35" s="201"/>
      <c r="T35" s="622"/>
      <c r="U35" s="622"/>
      <c r="V35" s="622"/>
      <c r="W35" s="622"/>
      <c r="X35" s="622"/>
      <c r="Y35" s="622"/>
      <c r="Z35" s="622"/>
      <c r="AA35" s="622"/>
      <c r="AB35" s="622"/>
      <c r="AK35" s="408"/>
      <c r="AL35" s="408"/>
      <c r="AM35" s="244"/>
      <c r="AN35" s="244"/>
      <c r="AO35" s="244"/>
      <c r="AP35" s="244"/>
      <c r="AQ35" s="92"/>
      <c r="AR35" s="339"/>
      <c r="AS35" s="342" t="s">
        <v>415</v>
      </c>
      <c r="AT35" s="131"/>
      <c r="AU35" s="1301"/>
      <c r="AV35" s="1302"/>
      <c r="AW35" s="92"/>
      <c r="AX35" s="92"/>
      <c r="AY35" s="92"/>
      <c r="AZ35" s="92"/>
      <c r="BA35" s="92"/>
    </row>
    <row r="36" spans="1:53" s="204" customFormat="1" ht="9" customHeight="1" thickBot="1">
      <c r="A36" s="148"/>
      <c r="B36" s="126"/>
      <c r="C36" s="151"/>
      <c r="H36" s="1053"/>
      <c r="I36" s="621"/>
      <c r="J36" s="1053"/>
      <c r="K36" s="1047"/>
      <c r="L36" s="201"/>
      <c r="M36" s="201"/>
      <c r="N36" s="408"/>
      <c r="O36" s="201"/>
      <c r="P36" s="201"/>
      <c r="Q36" s="201"/>
      <c r="R36" s="201"/>
      <c r="S36" s="201"/>
      <c r="T36" s="622"/>
      <c r="U36" s="622"/>
      <c r="V36" s="622"/>
      <c r="W36" s="622"/>
      <c r="X36" s="622"/>
      <c r="Y36" s="622"/>
      <c r="Z36" s="622"/>
      <c r="AA36" s="622"/>
      <c r="AB36" s="622"/>
      <c r="AK36" s="408"/>
      <c r="AL36" s="408"/>
      <c r="AM36" s="244"/>
      <c r="AN36" s="244"/>
      <c r="AO36" s="244"/>
      <c r="AP36" s="244"/>
      <c r="AQ36" s="133"/>
      <c r="AR36" s="247"/>
      <c r="AS36" s="341"/>
      <c r="AT36" s="176"/>
      <c r="AU36" s="1303"/>
      <c r="AV36" s="1304"/>
      <c r="AW36" s="92"/>
      <c r="AX36" s="92"/>
      <c r="AY36" s="92"/>
      <c r="AZ36" s="92"/>
      <c r="BA36" s="92"/>
    </row>
    <row r="37" spans="1:53" s="152" customFormat="1" ht="20" customHeight="1" thickTop="1">
      <c r="A37" s="148"/>
      <c r="B37" s="126"/>
      <c r="C37" s="151"/>
      <c r="D37" s="151"/>
      <c r="E37" s="1347" t="s">
        <v>216</v>
      </c>
      <c r="F37" s="159"/>
      <c r="G37" s="1344" t="s">
        <v>174</v>
      </c>
      <c r="H37" s="1053"/>
      <c r="I37" s="1045" t="s">
        <v>164</v>
      </c>
      <c r="J37" s="1045"/>
      <c r="K37" s="1288" t="s">
        <v>466</v>
      </c>
      <c r="L37" s="151"/>
      <c r="M37" s="151"/>
      <c r="N37" s="408"/>
      <c r="O37" s="151"/>
      <c r="P37" s="151"/>
      <c r="Q37" s="151"/>
      <c r="R37" s="151"/>
      <c r="S37" s="151"/>
      <c r="T37" s="151"/>
      <c r="U37" s="151"/>
      <c r="V37" s="151"/>
      <c r="W37" s="151"/>
      <c r="X37" s="151"/>
      <c r="Z37" s="151"/>
      <c r="AA37" s="151"/>
      <c r="AK37" s="408"/>
      <c r="AL37" s="408"/>
      <c r="AM37" s="244"/>
      <c r="AN37" s="244"/>
      <c r="AO37" s="244"/>
      <c r="AP37" s="244"/>
      <c r="AQ37" s="92"/>
      <c r="AR37" s="244"/>
      <c r="AS37" s="92"/>
      <c r="AT37" s="92"/>
      <c r="AU37" s="92"/>
      <c r="AV37" s="92"/>
      <c r="AW37" s="92"/>
      <c r="AX37" s="92"/>
      <c r="AY37" s="92"/>
      <c r="AZ37" s="92"/>
      <c r="BA37" s="92"/>
    </row>
    <row r="38" spans="1:53" s="152" customFormat="1" ht="20" customHeight="1">
      <c r="A38" s="148"/>
      <c r="B38" s="126"/>
      <c r="C38" s="151"/>
      <c r="D38" s="151"/>
      <c r="E38" s="1347"/>
      <c r="F38" s="145"/>
      <c r="G38" s="1344"/>
      <c r="H38" s="1053"/>
      <c r="I38" s="1045" t="s">
        <v>168</v>
      </c>
      <c r="J38" s="1045"/>
      <c r="K38" s="1294"/>
      <c r="L38" s="151"/>
      <c r="M38" s="151"/>
      <c r="N38" s="408"/>
      <c r="O38" s="151"/>
      <c r="P38" s="151"/>
      <c r="Q38" s="151"/>
      <c r="R38" s="151"/>
      <c r="S38" s="151"/>
      <c r="T38" s="151"/>
      <c r="U38" s="151"/>
      <c r="V38" s="151"/>
      <c r="W38" s="151"/>
      <c r="X38" s="151"/>
      <c r="Z38" s="151"/>
      <c r="AA38" s="151"/>
      <c r="AK38" s="408"/>
      <c r="AL38" s="408"/>
      <c r="AM38" s="244"/>
      <c r="AN38" s="244"/>
      <c r="AO38" s="244"/>
      <c r="AP38" s="244"/>
      <c r="AQ38" s="92"/>
      <c r="AR38" s="244"/>
      <c r="AS38" s="92"/>
      <c r="AT38" s="92"/>
      <c r="AU38" s="92"/>
      <c r="AV38" s="92"/>
      <c r="AW38" s="92"/>
      <c r="AX38" s="92"/>
      <c r="AY38" s="92"/>
      <c r="AZ38" s="92"/>
      <c r="BA38" s="92"/>
    </row>
    <row r="39" spans="1:53" s="152" customFormat="1" ht="20" customHeight="1">
      <c r="A39" s="148"/>
      <c r="B39" s="126"/>
      <c r="C39" s="151"/>
      <c r="D39" s="151"/>
      <c r="E39" s="1347"/>
      <c r="F39" s="159"/>
      <c r="G39" s="1344"/>
      <c r="H39" s="1053"/>
      <c r="I39" s="1045" t="s">
        <v>169</v>
      </c>
      <c r="J39" s="1045"/>
      <c r="K39" s="1294"/>
      <c r="L39" s="151"/>
      <c r="M39" s="151"/>
      <c r="N39" s="408"/>
      <c r="O39" s="151"/>
      <c r="P39" s="151"/>
      <c r="Q39" s="151"/>
      <c r="R39" s="151"/>
      <c r="S39" s="151"/>
      <c r="T39" s="151"/>
      <c r="U39" s="151"/>
      <c r="V39" s="151"/>
      <c r="W39" s="151"/>
      <c r="X39" s="151"/>
      <c r="Z39" s="151"/>
      <c r="AA39" s="151"/>
      <c r="AK39" s="408"/>
      <c r="AL39" s="408"/>
      <c r="AM39" s="244"/>
      <c r="AN39" s="244"/>
      <c r="AO39" s="244"/>
      <c r="AP39" s="244"/>
      <c r="AQ39" s="92"/>
      <c r="AR39" s="244"/>
      <c r="AS39" s="92"/>
      <c r="AT39" s="92"/>
      <c r="AU39" s="92"/>
      <c r="AV39" s="92"/>
      <c r="AW39" s="92"/>
      <c r="AX39" s="92"/>
      <c r="AY39" s="92"/>
      <c r="AZ39" s="92"/>
      <c r="BA39" s="92"/>
    </row>
    <row r="40" spans="1:53" s="152" customFormat="1" ht="3" customHeight="1">
      <c r="A40" s="148"/>
      <c r="B40" s="126"/>
      <c r="C40" s="151"/>
      <c r="D40" s="151"/>
      <c r="E40" s="1347"/>
      <c r="F40" s="159"/>
      <c r="G40" s="1344"/>
      <c r="H40" s="1053"/>
      <c r="I40" s="1045" t="s">
        <v>96</v>
      </c>
      <c r="J40" s="1045"/>
      <c r="K40" s="1294"/>
      <c r="L40" s="151"/>
      <c r="M40" s="151"/>
      <c r="N40" s="408"/>
      <c r="O40" s="151"/>
      <c r="P40" s="151"/>
      <c r="Q40" s="151"/>
      <c r="R40" s="151"/>
      <c r="S40" s="151"/>
      <c r="T40" s="151"/>
      <c r="U40" s="151"/>
      <c r="V40" s="151"/>
      <c r="W40" s="151"/>
      <c r="X40" s="151"/>
      <c r="Z40" s="151"/>
      <c r="AA40" s="151"/>
      <c r="AK40" s="408"/>
      <c r="AL40" s="408"/>
      <c r="AM40" s="244"/>
      <c r="AN40" s="244"/>
      <c r="AO40" s="244"/>
      <c r="AP40" s="244"/>
      <c r="AQ40" s="92"/>
      <c r="AR40" s="244"/>
      <c r="AS40" s="92"/>
      <c r="AT40" s="92"/>
      <c r="AU40" s="92"/>
      <c r="AV40" s="92"/>
      <c r="AW40" s="92"/>
      <c r="AX40" s="92"/>
      <c r="AY40" s="92"/>
      <c r="AZ40" s="92"/>
      <c r="BA40" s="92"/>
    </row>
    <row r="41" spans="1:53" s="152" customFormat="1" ht="12" customHeight="1">
      <c r="A41" s="148"/>
      <c r="B41" s="126"/>
      <c r="C41" s="151"/>
      <c r="D41" s="151"/>
      <c r="E41" s="1347"/>
      <c r="F41" s="161"/>
      <c r="G41" s="162"/>
      <c r="H41" s="1053"/>
      <c r="I41" s="1053"/>
      <c r="J41" s="1053"/>
      <c r="K41" s="1294"/>
      <c r="L41" s="151"/>
      <c r="M41" s="151"/>
      <c r="N41" s="408"/>
      <c r="O41" s="151"/>
      <c r="P41" s="151"/>
      <c r="Q41" s="151"/>
      <c r="R41" s="151"/>
      <c r="S41" s="151"/>
      <c r="T41" s="151"/>
      <c r="U41" s="151"/>
      <c r="V41" s="151"/>
      <c r="W41" s="151"/>
      <c r="X41" s="151"/>
      <c r="Z41" s="151"/>
      <c r="AA41" s="151"/>
      <c r="AK41" s="408"/>
      <c r="AL41" s="408"/>
      <c r="AM41" s="244"/>
      <c r="AN41" s="244"/>
      <c r="AO41" s="244"/>
      <c r="AP41" s="244"/>
      <c r="AQ41" s="92"/>
      <c r="AR41" s="244"/>
      <c r="AS41" s="92"/>
      <c r="AT41" s="92"/>
      <c r="AU41" s="92"/>
      <c r="AV41" s="92"/>
      <c r="AW41" s="92"/>
      <c r="AX41" s="92"/>
      <c r="AY41" s="92"/>
      <c r="AZ41" s="92"/>
      <c r="BA41" s="92"/>
    </row>
    <row r="42" spans="1:53" s="152" customFormat="1" ht="20" customHeight="1">
      <c r="A42" s="148"/>
      <c r="B42" s="126"/>
      <c r="C42" s="151"/>
      <c r="D42" s="151"/>
      <c r="E42" s="1347"/>
      <c r="F42" s="159"/>
      <c r="G42" s="1031" t="s">
        <v>204</v>
      </c>
      <c r="H42" s="1053"/>
      <c r="I42" s="1045" t="s">
        <v>165</v>
      </c>
      <c r="J42" s="1045"/>
      <c r="K42" s="1294"/>
      <c r="L42" s="151"/>
      <c r="M42" s="151"/>
      <c r="N42" s="408"/>
      <c r="O42" s="151"/>
      <c r="P42" s="151"/>
      <c r="Q42" s="151"/>
      <c r="R42" s="151"/>
      <c r="S42" s="151"/>
      <c r="T42" s="151"/>
      <c r="U42" s="151"/>
      <c r="V42" s="151"/>
      <c r="W42" s="151"/>
      <c r="X42" s="151"/>
      <c r="Z42" s="151"/>
      <c r="AA42" s="151"/>
      <c r="AK42" s="408"/>
      <c r="AL42" s="408"/>
      <c r="AM42" s="244"/>
      <c r="AN42" s="244"/>
      <c r="AO42" s="244"/>
      <c r="AP42" s="244"/>
      <c r="AQ42" s="92"/>
      <c r="AR42" s="244"/>
      <c r="AS42" s="92"/>
      <c r="AT42" s="92"/>
      <c r="AU42" s="92"/>
      <c r="AV42" s="92"/>
      <c r="AW42" s="92"/>
      <c r="AX42" s="92"/>
      <c r="AY42" s="92"/>
      <c r="AZ42" s="92"/>
      <c r="BA42" s="92"/>
    </row>
    <row r="43" spans="1:53" s="152" customFormat="1" ht="20" customHeight="1">
      <c r="A43" s="148"/>
      <c r="B43" s="126"/>
      <c r="C43" s="151"/>
      <c r="D43" s="151"/>
      <c r="E43" s="1347"/>
      <c r="F43" s="159"/>
      <c r="G43" s="1031"/>
      <c r="H43" s="1053"/>
      <c r="I43" s="1045" t="s">
        <v>166</v>
      </c>
      <c r="J43" s="1045"/>
      <c r="K43" s="1294"/>
      <c r="L43" s="151"/>
      <c r="M43" s="151"/>
      <c r="N43" s="408"/>
      <c r="O43" s="151"/>
      <c r="P43" s="151"/>
      <c r="Q43" s="151"/>
      <c r="R43" s="151"/>
      <c r="S43" s="151"/>
      <c r="T43" s="151"/>
      <c r="U43" s="151"/>
      <c r="V43" s="151"/>
      <c r="W43" s="151"/>
      <c r="X43" s="151"/>
      <c r="Z43" s="151"/>
      <c r="AA43" s="151"/>
      <c r="AK43" s="408"/>
      <c r="AL43" s="408"/>
      <c r="AM43" s="244"/>
      <c r="AN43" s="244"/>
      <c r="AO43" s="244"/>
      <c r="AP43" s="244"/>
      <c r="AQ43" s="92"/>
      <c r="AR43" s="244"/>
      <c r="AS43" s="92"/>
      <c r="AT43" s="92"/>
      <c r="AU43" s="92"/>
      <c r="AV43" s="92"/>
      <c r="AW43" s="92"/>
      <c r="AX43" s="92"/>
      <c r="AY43" s="92"/>
      <c r="AZ43" s="92"/>
      <c r="BA43" s="92"/>
    </row>
    <row r="44" spans="1:53" s="152" customFormat="1" ht="25" customHeight="1" thickBot="1">
      <c r="A44" s="148"/>
      <c r="B44" s="126"/>
      <c r="C44" s="151"/>
      <c r="D44" s="151"/>
      <c r="E44" s="1347"/>
      <c r="F44" s="159"/>
      <c r="G44" s="1031" t="s">
        <v>465</v>
      </c>
      <c r="H44" s="1053"/>
      <c r="I44" s="1045" t="s">
        <v>167</v>
      </c>
      <c r="J44" s="1045"/>
      <c r="K44" s="1289"/>
      <c r="L44" s="151"/>
      <c r="M44" s="151"/>
      <c r="N44" s="408"/>
      <c r="O44" s="151"/>
      <c r="P44" s="151"/>
      <c r="Q44" s="151"/>
      <c r="R44" s="151"/>
      <c r="S44" s="151"/>
      <c r="T44" s="151"/>
      <c r="U44" s="151"/>
      <c r="V44" s="151"/>
      <c r="W44" s="151"/>
      <c r="X44" s="151"/>
      <c r="Z44" s="151"/>
      <c r="AA44" s="151"/>
      <c r="AK44" s="408"/>
      <c r="AL44" s="408"/>
      <c r="AM44" s="244"/>
      <c r="AN44" s="244"/>
      <c r="AO44" s="244"/>
      <c r="AP44" s="244"/>
      <c r="AQ44" s="92"/>
      <c r="AR44" s="244"/>
      <c r="AS44" s="92"/>
      <c r="AT44" s="92"/>
      <c r="AU44" s="92"/>
      <c r="AV44" s="92"/>
      <c r="AW44" s="92"/>
      <c r="AX44" s="92"/>
      <c r="AY44" s="92"/>
      <c r="AZ44" s="92"/>
      <c r="BA44" s="92"/>
    </row>
    <row r="45" spans="1:53" s="152" customFormat="1" ht="20" customHeight="1" thickTop="1" thickBot="1">
      <c r="A45" s="148"/>
      <c r="B45" s="126"/>
      <c r="C45" s="151"/>
      <c r="D45" s="151"/>
      <c r="E45" s="1054"/>
      <c r="F45" s="159"/>
      <c r="G45" s="142"/>
      <c r="H45" s="1053"/>
      <c r="I45" s="1053"/>
      <c r="J45" s="1053"/>
      <c r="K45" s="1050"/>
      <c r="L45" s="151"/>
      <c r="M45" s="151"/>
      <c r="N45" s="408"/>
      <c r="O45" s="151"/>
      <c r="P45" s="151"/>
      <c r="Q45" s="151"/>
      <c r="R45" s="151"/>
      <c r="S45" s="151"/>
      <c r="T45" s="151"/>
      <c r="U45" s="151"/>
      <c r="V45" s="151"/>
      <c r="W45" s="151"/>
      <c r="X45" s="151"/>
      <c r="Z45" s="151"/>
      <c r="AA45" s="151"/>
      <c r="AK45" s="408"/>
      <c r="AL45" s="408"/>
      <c r="AM45" s="244"/>
      <c r="AN45" s="244"/>
      <c r="AO45" s="244"/>
      <c r="AP45" s="244"/>
      <c r="AQ45" s="92"/>
      <c r="AR45" s="244"/>
      <c r="AS45" s="92"/>
      <c r="AT45" s="92"/>
      <c r="AU45" s="92"/>
      <c r="AV45" s="92"/>
      <c r="AW45" s="92"/>
      <c r="AX45" s="92"/>
      <c r="AY45" s="92"/>
      <c r="AZ45" s="92"/>
      <c r="BA45" s="92"/>
    </row>
    <row r="46" spans="1:53" s="152" customFormat="1" ht="20" customHeight="1" thickTop="1">
      <c r="A46" s="148"/>
      <c r="B46" s="126"/>
      <c r="C46" s="151"/>
      <c r="D46" s="151"/>
      <c r="E46" s="1345" t="s">
        <v>217</v>
      </c>
      <c r="F46" s="161"/>
      <c r="G46" s="1344" t="s">
        <v>175</v>
      </c>
      <c r="H46" s="1053"/>
      <c r="I46" s="1053"/>
      <c r="J46" s="1053"/>
      <c r="K46" s="1288" t="s">
        <v>970</v>
      </c>
      <c r="L46" s="151"/>
      <c r="M46" s="151"/>
      <c r="N46" s="408"/>
      <c r="O46" s="151"/>
      <c r="P46" s="151"/>
      <c r="Q46" s="151"/>
      <c r="R46" s="151"/>
      <c r="S46" s="151"/>
      <c r="T46" s="151"/>
      <c r="U46" s="151"/>
      <c r="V46" s="151"/>
      <c r="W46" s="151"/>
      <c r="X46" s="151"/>
      <c r="Z46" s="151"/>
      <c r="AA46" s="151"/>
      <c r="AK46" s="408"/>
      <c r="AL46" s="408"/>
      <c r="AM46" s="244"/>
      <c r="AN46" s="244"/>
      <c r="AO46" s="244"/>
      <c r="AP46" s="244"/>
      <c r="AQ46" s="92"/>
      <c r="AR46" s="244"/>
      <c r="AS46" s="92"/>
      <c r="AT46" s="92"/>
      <c r="AU46" s="92"/>
      <c r="AV46" s="92"/>
      <c r="AW46" s="92"/>
      <c r="AX46" s="92"/>
      <c r="AY46" s="92"/>
      <c r="AZ46" s="92"/>
      <c r="BA46" s="92"/>
    </row>
    <row r="47" spans="1:53" s="152" customFormat="1" ht="19" customHeight="1">
      <c r="A47" s="148"/>
      <c r="B47" s="126"/>
      <c r="C47" s="151"/>
      <c r="D47" s="151"/>
      <c r="E47" s="1345"/>
      <c r="F47" s="159"/>
      <c r="G47" s="1344"/>
      <c r="H47" s="1053"/>
      <c r="I47" s="1292" t="s">
        <v>170</v>
      </c>
      <c r="J47" s="1045"/>
      <c r="K47" s="1294"/>
      <c r="L47" s="151"/>
      <c r="M47" s="151"/>
      <c r="N47" s="408"/>
      <c r="O47" s="151"/>
      <c r="P47" s="151"/>
      <c r="Q47" s="151"/>
      <c r="R47" s="151"/>
      <c r="S47" s="151"/>
      <c r="T47" s="151"/>
      <c r="U47" s="151"/>
      <c r="V47" s="151"/>
      <c r="W47" s="151"/>
      <c r="X47" s="151"/>
      <c r="Z47" s="151"/>
      <c r="AA47" s="151"/>
      <c r="AK47" s="408"/>
      <c r="AL47" s="408"/>
      <c r="AM47" s="244"/>
      <c r="AN47" s="244"/>
      <c r="AO47" s="244"/>
      <c r="AP47" s="244"/>
      <c r="AQ47" s="92"/>
      <c r="AR47" s="244"/>
      <c r="AS47" s="92"/>
      <c r="AT47" s="92"/>
      <c r="AU47" s="92"/>
      <c r="AV47" s="92"/>
      <c r="AW47" s="92"/>
      <c r="AX47" s="92"/>
      <c r="AY47" s="92"/>
      <c r="AZ47" s="92"/>
      <c r="BA47" s="92"/>
    </row>
    <row r="48" spans="1:53" s="152" customFormat="1" ht="40" customHeight="1">
      <c r="A48" s="148"/>
      <c r="B48" s="126"/>
      <c r="C48" s="151"/>
      <c r="D48" s="151"/>
      <c r="E48" s="1345"/>
      <c r="F48" s="159"/>
      <c r="G48" s="1052" t="s">
        <v>954</v>
      </c>
      <c r="H48" s="1053"/>
      <c r="I48" s="1292"/>
      <c r="J48" s="1053"/>
      <c r="K48" s="1294"/>
      <c r="L48" s="151"/>
      <c r="M48" s="151"/>
      <c r="N48" s="408"/>
      <c r="O48" s="151"/>
      <c r="P48" s="151"/>
      <c r="Q48" s="151"/>
      <c r="R48" s="151"/>
      <c r="S48" s="151"/>
      <c r="T48" s="151"/>
      <c r="U48" s="151"/>
      <c r="V48" s="151"/>
      <c r="W48" s="151"/>
      <c r="X48" s="151"/>
      <c r="Z48" s="151"/>
      <c r="AA48" s="151"/>
      <c r="AK48" s="408"/>
      <c r="AL48" s="408"/>
      <c r="AM48" s="244"/>
      <c r="AN48" s="244"/>
      <c r="AO48" s="244"/>
      <c r="AP48" s="244"/>
      <c r="AQ48" s="92"/>
      <c r="AR48" s="244"/>
      <c r="AS48" s="92"/>
      <c r="AT48" s="92"/>
      <c r="AU48" s="92"/>
      <c r="AV48" s="92"/>
      <c r="AW48" s="92"/>
      <c r="AX48" s="92"/>
      <c r="AY48" s="92"/>
      <c r="AZ48" s="92"/>
      <c r="BA48" s="92"/>
    </row>
    <row r="49" spans="1:53" s="152" customFormat="1" ht="19" customHeight="1">
      <c r="A49" s="148"/>
      <c r="B49" s="126"/>
      <c r="C49" s="151"/>
      <c r="D49" s="151"/>
      <c r="E49" s="1345"/>
      <c r="F49" s="161"/>
      <c r="G49" s="151"/>
      <c r="H49" s="1053"/>
      <c r="I49" s="1053"/>
      <c r="J49" s="1053"/>
      <c r="K49" s="1294"/>
      <c r="L49" s="151"/>
      <c r="M49" s="151"/>
      <c r="N49" s="408"/>
      <c r="O49" s="151"/>
      <c r="P49" s="151"/>
      <c r="Q49" s="151"/>
      <c r="R49" s="151"/>
      <c r="S49" s="151"/>
      <c r="T49" s="151"/>
      <c r="U49" s="151"/>
      <c r="V49" s="151"/>
      <c r="W49" s="151"/>
      <c r="X49" s="151"/>
      <c r="Z49" s="151"/>
      <c r="AA49" s="151"/>
      <c r="AK49" s="408"/>
      <c r="AL49" s="408"/>
      <c r="AM49" s="244"/>
      <c r="AN49" s="244"/>
      <c r="AO49" s="244"/>
      <c r="AP49" s="244"/>
      <c r="AQ49" s="92"/>
      <c r="AR49" s="244"/>
      <c r="AS49" s="92"/>
      <c r="AT49" s="92"/>
      <c r="AU49" s="92"/>
      <c r="AV49" s="92"/>
      <c r="AW49" s="92"/>
      <c r="AX49" s="92"/>
      <c r="AY49" s="92"/>
      <c r="AZ49" s="92"/>
      <c r="BA49" s="92"/>
    </row>
    <row r="50" spans="1:53" s="152" customFormat="1" ht="18" customHeight="1">
      <c r="A50" s="148"/>
      <c r="B50" s="126"/>
      <c r="C50" s="151"/>
      <c r="D50" s="151"/>
      <c r="E50" s="1345"/>
      <c r="F50" s="159"/>
      <c r="G50" s="1290" t="s">
        <v>205</v>
      </c>
      <c r="H50" s="1053"/>
      <c r="I50" s="1292" t="s">
        <v>172</v>
      </c>
      <c r="J50" s="1059"/>
      <c r="K50" s="1294"/>
      <c r="L50" s="151"/>
      <c r="M50" s="151"/>
      <c r="N50" s="408"/>
      <c r="O50" s="151"/>
      <c r="P50" s="151"/>
      <c r="Q50" s="151"/>
      <c r="R50" s="151"/>
      <c r="S50" s="151"/>
      <c r="T50" s="151"/>
      <c r="U50" s="151"/>
      <c r="V50" s="151"/>
      <c r="W50" s="151"/>
      <c r="X50" s="151"/>
      <c r="Z50" s="151"/>
      <c r="AA50" s="151"/>
      <c r="AK50" s="408"/>
      <c r="AL50" s="408"/>
      <c r="AM50" s="244"/>
      <c r="AN50" s="244"/>
      <c r="AO50" s="244"/>
      <c r="AP50" s="244"/>
      <c r="AQ50" s="92"/>
      <c r="AR50" s="244"/>
      <c r="AS50" s="92"/>
      <c r="AT50" s="92"/>
      <c r="AU50" s="92"/>
      <c r="AV50" s="92"/>
      <c r="AW50" s="92"/>
      <c r="AX50" s="92"/>
      <c r="AY50" s="92"/>
      <c r="AZ50" s="92"/>
      <c r="BA50" s="92"/>
    </row>
    <row r="51" spans="1:53" s="152" customFormat="1" ht="23" customHeight="1">
      <c r="A51" s="148"/>
      <c r="B51" s="126"/>
      <c r="C51" s="151"/>
      <c r="D51" s="151"/>
      <c r="E51" s="1345"/>
      <c r="F51" s="164"/>
      <c r="G51" s="1290"/>
      <c r="H51" s="1053"/>
      <c r="I51" s="1292"/>
      <c r="J51" s="1059"/>
      <c r="K51" s="1294"/>
      <c r="L51" s="151"/>
      <c r="M51" s="151"/>
      <c r="N51" s="408"/>
      <c r="O51" s="151"/>
      <c r="P51" s="151"/>
      <c r="Q51" s="151"/>
      <c r="R51" s="151"/>
      <c r="S51" s="151"/>
      <c r="T51" s="151"/>
      <c r="U51" s="151"/>
      <c r="V51" s="151"/>
      <c r="W51" s="151"/>
      <c r="X51" s="151"/>
      <c r="Z51" s="151"/>
      <c r="AA51" s="151"/>
      <c r="AK51" s="408"/>
      <c r="AL51" s="408"/>
      <c r="AM51" s="244"/>
      <c r="AN51" s="244"/>
      <c r="AO51" s="244"/>
      <c r="AP51" s="244"/>
      <c r="AQ51" s="92"/>
      <c r="AR51" s="244"/>
      <c r="AS51" s="92"/>
      <c r="AT51" s="92"/>
      <c r="AU51" s="92"/>
      <c r="AV51" s="92"/>
      <c r="AW51" s="92"/>
      <c r="AX51" s="92"/>
      <c r="AY51" s="92"/>
      <c r="AZ51" s="92"/>
      <c r="BA51" s="92"/>
    </row>
    <row r="52" spans="1:53" s="152" customFormat="1" ht="18" customHeight="1">
      <c r="A52" s="148"/>
      <c r="B52" s="126"/>
      <c r="C52" s="151"/>
      <c r="D52" s="151"/>
      <c r="E52" s="1345"/>
      <c r="F52" s="159"/>
      <c r="G52" s="162"/>
      <c r="H52" s="1053"/>
      <c r="I52" s="1053"/>
      <c r="J52" s="1053"/>
      <c r="K52" s="1294"/>
      <c r="L52" s="151"/>
      <c r="M52" s="151"/>
      <c r="N52" s="408"/>
      <c r="O52" s="151"/>
      <c r="P52" s="151"/>
      <c r="Q52" s="151"/>
      <c r="R52" s="151"/>
      <c r="S52" s="151"/>
      <c r="T52" s="151"/>
      <c r="U52" s="151"/>
      <c r="V52" s="151"/>
      <c r="W52" s="151"/>
      <c r="X52" s="151"/>
      <c r="Z52" s="151"/>
      <c r="AA52" s="151"/>
      <c r="AK52" s="408"/>
      <c r="AL52" s="408"/>
      <c r="AM52" s="244"/>
      <c r="AN52" s="244"/>
      <c r="AO52" s="244"/>
      <c r="AP52" s="244"/>
      <c r="AQ52" s="92"/>
      <c r="AR52" s="244"/>
      <c r="AS52" s="92"/>
      <c r="AT52" s="92"/>
      <c r="AU52" s="92"/>
      <c r="AV52" s="92"/>
      <c r="AW52" s="92"/>
      <c r="AX52" s="92"/>
      <c r="AY52" s="92"/>
      <c r="AZ52" s="92"/>
      <c r="BA52" s="92"/>
    </row>
    <row r="53" spans="1:53" s="152" customFormat="1" ht="18" customHeight="1">
      <c r="A53" s="148"/>
      <c r="B53" s="126"/>
      <c r="C53" s="151"/>
      <c r="D53" s="151"/>
      <c r="E53" s="1345"/>
      <c r="F53" s="159"/>
      <c r="G53" s="374" t="s">
        <v>203</v>
      </c>
      <c r="H53" s="1053"/>
      <c r="I53" s="1053"/>
      <c r="J53" s="1053"/>
      <c r="K53" s="1294"/>
      <c r="L53" s="151"/>
      <c r="M53" s="151"/>
      <c r="N53" s="408"/>
      <c r="O53" s="151"/>
      <c r="P53" s="151"/>
      <c r="Q53" s="151"/>
      <c r="R53" s="151"/>
      <c r="S53" s="151"/>
      <c r="T53" s="151"/>
      <c r="U53" s="151"/>
      <c r="V53" s="151"/>
      <c r="W53" s="151"/>
      <c r="X53" s="151"/>
      <c r="Z53" s="151"/>
      <c r="AA53" s="151"/>
      <c r="AK53" s="408"/>
      <c r="AL53" s="408"/>
      <c r="AM53" s="244"/>
      <c r="AN53" s="244"/>
      <c r="AO53" s="244"/>
      <c r="AP53" s="244"/>
      <c r="AQ53" s="92"/>
      <c r="AR53" s="244"/>
      <c r="AS53" s="92"/>
      <c r="AT53" s="92"/>
      <c r="AU53" s="92"/>
      <c r="AV53" s="92"/>
      <c r="AW53" s="92"/>
      <c r="AX53" s="92"/>
      <c r="AY53" s="92"/>
      <c r="AZ53" s="92"/>
      <c r="BA53" s="92"/>
    </row>
    <row r="54" spans="1:53" s="152" customFormat="1" ht="31" customHeight="1">
      <c r="A54" s="148"/>
      <c r="B54" s="126"/>
      <c r="C54" s="151"/>
      <c r="D54" s="151"/>
      <c r="E54" s="1345"/>
      <c r="F54" s="159"/>
      <c r="G54" s="373"/>
      <c r="H54" s="1053"/>
      <c r="I54" s="1060" t="s">
        <v>953</v>
      </c>
      <c r="J54" s="1053"/>
      <c r="K54" s="1294"/>
      <c r="L54" s="151"/>
      <c r="M54" s="151"/>
      <c r="N54" s="408"/>
      <c r="O54" s="151"/>
      <c r="P54" s="151"/>
      <c r="Q54" s="151"/>
      <c r="R54" s="151"/>
      <c r="S54" s="151"/>
      <c r="T54" s="151"/>
      <c r="U54" s="151"/>
      <c r="V54" s="151"/>
      <c r="W54" s="151"/>
      <c r="X54" s="151"/>
      <c r="Z54" s="151"/>
      <c r="AA54" s="151"/>
      <c r="AK54" s="408"/>
      <c r="AL54" s="408"/>
      <c r="AM54" s="244"/>
      <c r="AN54" s="244"/>
      <c r="AO54" s="244"/>
      <c r="AP54" s="244"/>
      <c r="AQ54" s="92"/>
      <c r="AR54" s="244"/>
      <c r="AS54" s="92"/>
      <c r="AT54" s="92"/>
      <c r="AU54" s="92"/>
      <c r="AV54" s="92"/>
      <c r="AW54" s="92"/>
      <c r="AX54" s="92"/>
      <c r="AY54" s="92"/>
      <c r="AZ54" s="92"/>
      <c r="BA54" s="92"/>
    </row>
    <row r="55" spans="1:53" s="152" customFormat="1" ht="33" customHeight="1">
      <c r="A55" s="148"/>
      <c r="B55" s="126"/>
      <c r="C55" s="151"/>
      <c r="D55" s="151"/>
      <c r="E55" s="1345"/>
      <c r="F55" s="159"/>
      <c r="G55" s="1348" t="s">
        <v>468</v>
      </c>
      <c r="H55" s="1053"/>
      <c r="I55" s="1060" t="s">
        <v>171</v>
      </c>
      <c r="J55" s="1053"/>
      <c r="K55" s="1294"/>
      <c r="L55" s="151"/>
      <c r="M55" s="151"/>
      <c r="N55" s="408"/>
      <c r="O55" s="151"/>
      <c r="P55" s="151"/>
      <c r="Q55" s="151"/>
      <c r="R55" s="151"/>
      <c r="S55" s="151"/>
      <c r="T55" s="151"/>
      <c r="U55" s="151"/>
      <c r="V55" s="151"/>
      <c r="W55" s="151"/>
      <c r="X55" s="151"/>
      <c r="Z55" s="151"/>
      <c r="AA55" s="151"/>
      <c r="AK55" s="408"/>
      <c r="AL55" s="408"/>
      <c r="AM55" s="244"/>
      <c r="AN55" s="244"/>
      <c r="AO55" s="244"/>
      <c r="AP55" s="244"/>
      <c r="AQ55" s="92"/>
      <c r="AR55" s="244"/>
      <c r="AS55" s="92"/>
      <c r="AT55" s="92"/>
      <c r="AU55" s="92"/>
      <c r="AV55" s="92"/>
      <c r="AW55" s="92"/>
      <c r="AX55" s="92"/>
      <c r="AY55" s="92"/>
      <c r="AZ55" s="92"/>
      <c r="BA55" s="92"/>
    </row>
    <row r="56" spans="1:53" s="152" customFormat="1" ht="12" customHeight="1">
      <c r="A56" s="148"/>
      <c r="B56" s="126"/>
      <c r="C56" s="151"/>
      <c r="D56" s="151"/>
      <c r="E56" s="1345"/>
      <c r="F56" s="161"/>
      <c r="G56" s="1348"/>
      <c r="H56" s="1053"/>
      <c r="I56" s="1053"/>
      <c r="J56" s="1053"/>
      <c r="K56" s="1294"/>
      <c r="L56" s="151"/>
      <c r="M56" s="151"/>
      <c r="N56" s="408"/>
      <c r="O56" s="151"/>
      <c r="P56" s="151"/>
      <c r="Q56" s="151"/>
      <c r="R56" s="151"/>
      <c r="S56" s="151"/>
      <c r="T56" s="151"/>
      <c r="U56" s="151"/>
      <c r="V56" s="151"/>
      <c r="W56" s="151"/>
      <c r="X56" s="151"/>
      <c r="Z56" s="151"/>
      <c r="AA56" s="151"/>
      <c r="AK56" s="408"/>
      <c r="AL56" s="408"/>
      <c r="AM56" s="244"/>
      <c r="AN56" s="244"/>
      <c r="AO56" s="244"/>
      <c r="AP56" s="244"/>
      <c r="AQ56" s="92"/>
      <c r="AR56" s="244"/>
      <c r="AS56" s="92"/>
      <c r="AT56" s="92"/>
      <c r="AU56" s="92"/>
      <c r="AV56" s="92"/>
      <c r="AW56" s="92"/>
      <c r="AX56" s="92"/>
      <c r="AY56" s="92"/>
      <c r="AZ56" s="92"/>
      <c r="BA56" s="92"/>
    </row>
    <row r="57" spans="1:53" s="152" customFormat="1" ht="13" customHeight="1">
      <c r="A57" s="148"/>
      <c r="B57" s="126"/>
      <c r="C57" s="151"/>
      <c r="D57" s="151"/>
      <c r="E57" s="1345"/>
      <c r="F57" s="159"/>
      <c r="G57" s="151"/>
      <c r="H57" s="1053"/>
      <c r="I57" s="1053"/>
      <c r="J57" s="1053"/>
      <c r="K57" s="1294"/>
      <c r="L57" s="151"/>
      <c r="M57" s="151"/>
      <c r="N57" s="408"/>
      <c r="O57" s="151"/>
      <c r="P57" s="151"/>
      <c r="Q57" s="151"/>
      <c r="R57" s="151"/>
      <c r="S57" s="151"/>
      <c r="T57" s="151"/>
      <c r="U57" s="151"/>
      <c r="V57" s="151"/>
      <c r="W57" s="151"/>
      <c r="X57" s="151"/>
      <c r="Z57" s="151"/>
      <c r="AA57" s="151"/>
      <c r="AK57" s="408"/>
      <c r="AL57" s="408"/>
      <c r="AM57" s="244"/>
      <c r="AN57" s="244"/>
      <c r="AO57" s="244"/>
      <c r="AP57" s="244"/>
      <c r="AQ57" s="92"/>
      <c r="AR57" s="244"/>
      <c r="AS57" s="92"/>
      <c r="AT57" s="92"/>
      <c r="AU57" s="92"/>
      <c r="AV57" s="92"/>
      <c r="AW57" s="92"/>
      <c r="AX57" s="92"/>
      <c r="AY57" s="92"/>
      <c r="AZ57" s="92"/>
      <c r="BA57" s="92"/>
    </row>
    <row r="58" spans="1:53" s="152" customFormat="1" ht="18" customHeight="1">
      <c r="A58" s="148"/>
      <c r="B58" s="126"/>
      <c r="C58" s="151"/>
      <c r="D58" s="151"/>
      <c r="E58" s="1345"/>
      <c r="F58" s="159"/>
      <c r="G58" s="1031" t="s">
        <v>72</v>
      </c>
      <c r="H58" s="1053"/>
      <c r="I58" s="1053"/>
      <c r="J58" s="1053"/>
      <c r="K58" s="1294"/>
      <c r="L58" s="151"/>
      <c r="M58" s="151"/>
      <c r="N58" s="408"/>
      <c r="O58" s="151"/>
      <c r="P58" s="151"/>
      <c r="Q58" s="151"/>
      <c r="R58" s="151"/>
      <c r="S58" s="151"/>
      <c r="T58" s="151"/>
      <c r="U58" s="151"/>
      <c r="V58" s="151"/>
      <c r="W58" s="151"/>
      <c r="X58" s="151"/>
      <c r="Z58" s="151"/>
      <c r="AA58" s="151"/>
      <c r="AK58" s="408"/>
      <c r="AL58" s="408"/>
      <c r="AM58" s="244"/>
      <c r="AN58" s="244"/>
      <c r="AO58" s="244"/>
      <c r="AP58" s="244"/>
      <c r="AQ58" s="92"/>
      <c r="AR58" s="244"/>
      <c r="AS58" s="92"/>
      <c r="AT58" s="92"/>
      <c r="AU58" s="92"/>
      <c r="AV58" s="92"/>
      <c r="AW58" s="92"/>
      <c r="AX58" s="92"/>
      <c r="AY58" s="92"/>
      <c r="AZ58" s="92"/>
      <c r="BA58" s="92"/>
    </row>
    <row r="59" spans="1:53" s="152" customFormat="1" ht="18" customHeight="1">
      <c r="A59" s="148"/>
      <c r="B59" s="126"/>
      <c r="C59" s="151"/>
      <c r="D59" s="151"/>
      <c r="E59" s="1345"/>
      <c r="F59" s="159"/>
      <c r="G59" s="1293" t="s">
        <v>467</v>
      </c>
      <c r="H59" s="1053"/>
      <c r="I59" s="1045" t="s">
        <v>462</v>
      </c>
      <c r="J59" s="1053"/>
      <c r="K59" s="1294"/>
      <c r="L59" s="151"/>
      <c r="M59" s="151"/>
      <c r="N59" s="408"/>
      <c r="O59" s="151"/>
      <c r="P59" s="151"/>
      <c r="Q59" s="151"/>
      <c r="R59" s="151"/>
      <c r="S59" s="151"/>
      <c r="T59" s="151"/>
      <c r="U59" s="151"/>
      <c r="V59" s="151"/>
      <c r="W59" s="151"/>
      <c r="X59" s="151"/>
      <c r="Z59" s="151"/>
      <c r="AA59" s="151"/>
      <c r="AK59" s="408"/>
      <c r="AL59" s="408"/>
      <c r="AM59" s="244"/>
      <c r="AN59" s="244"/>
      <c r="AO59" s="244"/>
      <c r="AP59" s="244"/>
      <c r="AQ59" s="92"/>
      <c r="AR59" s="244"/>
      <c r="AS59" s="92"/>
      <c r="AT59" s="92"/>
      <c r="AU59" s="92"/>
      <c r="AV59" s="92"/>
      <c r="AW59" s="92"/>
      <c r="AX59" s="92"/>
      <c r="AY59" s="92"/>
      <c r="AZ59" s="92"/>
      <c r="BA59" s="92"/>
    </row>
    <row r="60" spans="1:53" s="152" customFormat="1" ht="18" customHeight="1">
      <c r="A60" s="148"/>
      <c r="B60" s="155"/>
      <c r="C60" s="151"/>
      <c r="D60" s="151"/>
      <c r="E60" s="1345"/>
      <c r="F60" s="159"/>
      <c r="G60" s="1293"/>
      <c r="H60" s="1053"/>
      <c r="I60" s="1053"/>
      <c r="J60" s="1053"/>
      <c r="K60" s="1294"/>
      <c r="L60" s="151"/>
      <c r="M60" s="151"/>
      <c r="N60" s="408"/>
      <c r="O60" s="151"/>
      <c r="P60" s="151"/>
      <c r="Q60" s="151"/>
      <c r="R60" s="151"/>
      <c r="S60" s="151"/>
      <c r="T60" s="151"/>
      <c r="U60" s="151"/>
      <c r="V60" s="151"/>
      <c r="W60" s="151"/>
      <c r="X60" s="151"/>
      <c r="Z60" s="151"/>
      <c r="AA60" s="151"/>
      <c r="AK60" s="408"/>
      <c r="AL60" s="408"/>
      <c r="AM60" s="244"/>
      <c r="AN60" s="244"/>
      <c r="AO60" s="244"/>
      <c r="AP60" s="244"/>
      <c r="AQ60" s="92"/>
      <c r="AR60" s="244"/>
      <c r="AS60" s="92"/>
      <c r="AT60" s="92"/>
      <c r="AU60" s="92"/>
      <c r="AV60" s="92"/>
      <c r="AW60" s="92"/>
      <c r="AX60" s="92"/>
      <c r="AY60" s="92"/>
      <c r="AZ60" s="92"/>
      <c r="BA60" s="92"/>
    </row>
    <row r="61" spans="1:53" s="621" customFormat="1" ht="18" customHeight="1">
      <c r="A61" s="148"/>
      <c r="B61" s="155"/>
      <c r="C61" s="151"/>
      <c r="D61" s="151"/>
      <c r="E61" s="1345"/>
      <c r="F61" s="161"/>
      <c r="G61" s="1293"/>
      <c r="H61" s="1053"/>
      <c r="I61" s="1055" t="s">
        <v>509</v>
      </c>
      <c r="J61" s="1053"/>
      <c r="K61" s="1294"/>
      <c r="L61" s="151"/>
      <c r="M61" s="151"/>
      <c r="N61" s="408"/>
      <c r="O61" s="151"/>
      <c r="P61" s="151"/>
      <c r="Q61" s="151"/>
      <c r="R61" s="151"/>
      <c r="S61" s="151"/>
      <c r="T61" s="151"/>
      <c r="U61" s="151"/>
      <c r="V61" s="151"/>
      <c r="W61" s="151"/>
      <c r="X61" s="151"/>
      <c r="Z61" s="151"/>
      <c r="AA61" s="151"/>
      <c r="AK61" s="408"/>
      <c r="AL61" s="408"/>
      <c r="AM61" s="244"/>
      <c r="AN61" s="244"/>
      <c r="AO61" s="244"/>
      <c r="AP61" s="244"/>
      <c r="AQ61" s="92"/>
      <c r="AR61" s="244"/>
      <c r="AS61" s="92"/>
      <c r="AT61" s="92"/>
      <c r="AU61" s="92"/>
      <c r="AV61" s="92"/>
      <c r="AW61" s="92"/>
      <c r="AX61" s="92"/>
      <c r="AY61" s="92"/>
      <c r="AZ61" s="92"/>
      <c r="BA61" s="92"/>
    </row>
    <row r="62" spans="1:53" s="621" customFormat="1" ht="18" customHeight="1">
      <c r="A62" s="148"/>
      <c r="B62" s="155"/>
      <c r="C62" s="151"/>
      <c r="D62" s="151"/>
      <c r="E62" s="1345"/>
      <c r="F62" s="159"/>
      <c r="G62" s="1293"/>
      <c r="H62" s="1053"/>
      <c r="I62" s="151"/>
      <c r="J62" s="1053"/>
      <c r="K62" s="1294"/>
      <c r="L62" s="151"/>
      <c r="M62" s="151"/>
      <c r="N62" s="408"/>
      <c r="O62" s="151"/>
      <c r="P62" s="151"/>
      <c r="Q62" s="151"/>
      <c r="R62" s="151"/>
      <c r="S62" s="151"/>
      <c r="T62" s="151"/>
      <c r="U62" s="151"/>
      <c r="V62" s="151"/>
      <c r="W62" s="151"/>
      <c r="X62" s="151"/>
      <c r="Z62" s="151"/>
      <c r="AA62" s="151"/>
      <c r="AK62" s="408"/>
      <c r="AL62" s="408"/>
      <c r="AM62" s="244"/>
      <c r="AN62" s="244"/>
      <c r="AO62" s="244"/>
      <c r="AP62" s="244"/>
      <c r="AQ62" s="92"/>
      <c r="AR62" s="244"/>
      <c r="AS62" s="92"/>
      <c r="AT62" s="92"/>
      <c r="AU62" s="92"/>
      <c r="AV62" s="92"/>
      <c r="AW62" s="92"/>
      <c r="AX62" s="92"/>
      <c r="AY62" s="92"/>
      <c r="AZ62" s="92"/>
      <c r="BA62" s="92"/>
    </row>
    <row r="63" spans="1:53" s="152" customFormat="1" ht="21" customHeight="1" thickBot="1">
      <c r="A63" s="148"/>
      <c r="B63" s="126"/>
      <c r="C63" s="151"/>
      <c r="D63" s="151"/>
      <c r="E63" s="1345"/>
      <c r="F63" s="164"/>
      <c r="G63" s="1293"/>
      <c r="H63" s="1053"/>
      <c r="I63" s="1053"/>
      <c r="J63" s="1053"/>
      <c r="K63" s="1289"/>
      <c r="L63" s="151"/>
      <c r="M63" s="151"/>
      <c r="N63" s="408"/>
      <c r="O63" s="151"/>
      <c r="P63" s="151"/>
      <c r="Q63" s="151"/>
      <c r="R63" s="151"/>
      <c r="S63" s="151"/>
      <c r="T63" s="151"/>
      <c r="U63" s="151"/>
      <c r="V63" s="151"/>
      <c r="W63" s="151"/>
      <c r="X63" s="151"/>
      <c r="Z63" s="151"/>
      <c r="AA63" s="151"/>
      <c r="AK63" s="408"/>
      <c r="AL63" s="408"/>
      <c r="AM63" s="244"/>
      <c r="AN63" s="244"/>
      <c r="AO63" s="244"/>
      <c r="AP63" s="244"/>
      <c r="AQ63" s="92"/>
      <c r="AR63" s="244"/>
      <c r="AS63" s="92"/>
      <c r="AT63" s="92"/>
      <c r="AU63" s="92"/>
      <c r="AV63" s="92"/>
      <c r="AW63" s="92"/>
      <c r="AX63" s="92"/>
      <c r="AY63" s="92"/>
      <c r="AZ63" s="92"/>
      <c r="BA63" s="92"/>
    </row>
    <row r="64" spans="1:53" s="152" customFormat="1" ht="13" customHeight="1" thickTop="1" thickBot="1">
      <c r="A64" s="148"/>
      <c r="B64" s="126"/>
      <c r="C64" s="151"/>
      <c r="D64" s="151"/>
      <c r="E64" s="164"/>
      <c r="F64" s="164"/>
      <c r="G64" s="144"/>
      <c r="H64" s="1053"/>
      <c r="I64" s="166"/>
      <c r="J64" s="1053"/>
      <c r="K64" s="1051"/>
      <c r="L64" s="1047"/>
      <c r="N64" s="408"/>
      <c r="O64" s="151"/>
      <c r="P64" s="151"/>
      <c r="Q64" s="151"/>
      <c r="R64" s="151"/>
      <c r="S64" s="151"/>
      <c r="T64" s="151"/>
      <c r="U64" s="151"/>
      <c r="V64" s="151"/>
      <c r="W64" s="151"/>
      <c r="X64" s="151"/>
      <c r="Z64" s="151"/>
      <c r="AA64" s="151"/>
      <c r="AK64" s="408"/>
      <c r="AL64" s="408"/>
      <c r="AM64" s="244"/>
      <c r="AN64" s="244"/>
      <c r="AO64" s="244"/>
      <c r="AP64" s="244"/>
      <c r="AQ64" s="92"/>
      <c r="AR64" s="244"/>
      <c r="AS64" s="92"/>
      <c r="AT64" s="92"/>
      <c r="AU64" s="92"/>
      <c r="AV64" s="92"/>
      <c r="AW64" s="92"/>
      <c r="AX64" s="92"/>
      <c r="AY64" s="92"/>
      <c r="AZ64" s="92"/>
      <c r="BA64" s="92"/>
    </row>
    <row r="65" spans="1:53" s="152" customFormat="1" ht="21" customHeight="1" thickTop="1">
      <c r="A65" s="148"/>
      <c r="B65" s="126"/>
      <c r="C65" s="151"/>
      <c r="D65" s="151"/>
      <c r="E65" s="1346" t="s">
        <v>97</v>
      </c>
      <c r="F65" s="159"/>
      <c r="G65" s="1344" t="s">
        <v>97</v>
      </c>
      <c r="H65" s="1053"/>
      <c r="I65" s="151"/>
      <c r="J65" s="1053"/>
      <c r="K65" s="1288" t="s">
        <v>429</v>
      </c>
      <c r="L65" s="1047"/>
      <c r="N65" s="408"/>
      <c r="O65" s="151"/>
      <c r="P65" s="151"/>
      <c r="Q65" s="151"/>
      <c r="R65" s="151"/>
      <c r="S65" s="151"/>
      <c r="T65" s="151"/>
      <c r="U65" s="151"/>
      <c r="V65" s="151"/>
      <c r="W65" s="151"/>
      <c r="X65" s="151"/>
      <c r="Z65" s="151"/>
      <c r="AA65" s="151"/>
      <c r="AK65" s="408"/>
      <c r="AL65" s="408"/>
      <c r="AM65" s="244"/>
      <c r="AN65" s="244"/>
      <c r="AO65" s="244"/>
      <c r="AP65" s="244"/>
      <c r="AQ65" s="92"/>
      <c r="AR65" s="244"/>
      <c r="AS65" s="92"/>
      <c r="AT65" s="92"/>
      <c r="AU65" s="92"/>
      <c r="AV65" s="92"/>
      <c r="AW65" s="92"/>
      <c r="AX65" s="92"/>
      <c r="AY65" s="92"/>
      <c r="AZ65" s="92"/>
      <c r="BA65" s="92"/>
    </row>
    <row r="66" spans="1:53" ht="21" customHeight="1">
      <c r="E66" s="1346"/>
      <c r="F66" s="159"/>
      <c r="G66" s="1344"/>
      <c r="K66" s="1294"/>
      <c r="L66" s="1047"/>
      <c r="N66" s="408"/>
      <c r="AK66" s="408"/>
      <c r="AL66" s="408"/>
    </row>
    <row r="67" spans="1:53" ht="21" customHeight="1">
      <c r="E67" s="1346"/>
      <c r="F67" s="159"/>
      <c r="G67" s="1344"/>
      <c r="K67" s="1294"/>
      <c r="L67" s="1047"/>
      <c r="N67" s="408"/>
      <c r="AK67" s="408"/>
      <c r="AL67" s="408"/>
    </row>
    <row r="68" spans="1:53" ht="21" customHeight="1">
      <c r="E68" s="1346"/>
      <c r="F68" s="159"/>
      <c r="G68" s="1344"/>
      <c r="I68" s="151"/>
      <c r="K68" s="1294"/>
      <c r="L68" s="1047"/>
      <c r="N68" s="408"/>
      <c r="AK68" s="408"/>
      <c r="AL68" s="408"/>
    </row>
    <row r="69" spans="1:53" ht="35" customHeight="1">
      <c r="E69" s="1346"/>
      <c r="F69" s="159"/>
      <c r="G69" s="1344"/>
      <c r="I69" s="1045" t="s">
        <v>177</v>
      </c>
      <c r="K69" s="1294"/>
      <c r="L69" s="1047"/>
      <c r="N69" s="408"/>
      <c r="AK69" s="408"/>
      <c r="AL69" s="408"/>
    </row>
    <row r="70" spans="1:53" ht="20" customHeight="1">
      <c r="E70" s="1346"/>
      <c r="F70" s="159"/>
      <c r="G70" s="1344"/>
      <c r="I70" s="1045"/>
      <c r="K70" s="1294"/>
      <c r="L70" s="1047"/>
      <c r="N70" s="408"/>
      <c r="AK70" s="408"/>
      <c r="AL70" s="408"/>
    </row>
    <row r="71" spans="1:53" ht="32" customHeight="1">
      <c r="E71" s="1346"/>
      <c r="F71" s="159"/>
      <c r="G71" s="1344"/>
      <c r="I71" s="1045" t="s">
        <v>178</v>
      </c>
      <c r="K71" s="1294"/>
      <c r="L71" s="1047"/>
      <c r="N71" s="408"/>
      <c r="AK71" s="408"/>
      <c r="AL71" s="408"/>
    </row>
    <row r="72" spans="1:53" ht="21" customHeight="1">
      <c r="E72" s="1346"/>
      <c r="F72" s="159"/>
      <c r="G72" s="1344"/>
      <c r="I72" s="1045"/>
      <c r="K72" s="1294"/>
      <c r="L72" s="1047"/>
      <c r="N72" s="408"/>
      <c r="AK72" s="408"/>
      <c r="AL72" s="408"/>
    </row>
    <row r="73" spans="1:53" ht="21" customHeight="1">
      <c r="E73" s="1346"/>
      <c r="F73" s="159"/>
      <c r="G73" s="1344"/>
      <c r="K73" s="1294"/>
      <c r="L73" s="1047"/>
      <c r="N73" s="408"/>
      <c r="AK73" s="408"/>
      <c r="AL73" s="408"/>
    </row>
    <row r="74" spans="1:53" ht="21" customHeight="1">
      <c r="E74" s="1346"/>
      <c r="F74" s="159"/>
      <c r="G74" s="1344"/>
      <c r="K74" s="1294"/>
      <c r="L74" s="1047"/>
      <c r="N74" s="408"/>
      <c r="AK74" s="408"/>
      <c r="AL74" s="408"/>
    </row>
    <row r="75" spans="1:53" ht="15" customHeight="1">
      <c r="E75" s="1346"/>
      <c r="F75" s="164"/>
      <c r="G75" s="142"/>
      <c r="I75" s="166"/>
      <c r="K75" s="1294"/>
      <c r="L75" s="165"/>
      <c r="N75" s="408"/>
      <c r="AK75" s="408"/>
      <c r="AL75" s="408"/>
    </row>
    <row r="76" spans="1:53" ht="36" customHeight="1">
      <c r="E76" s="1346"/>
      <c r="F76" s="159"/>
      <c r="G76" s="1344" t="s">
        <v>232</v>
      </c>
      <c r="I76" s="1045" t="s">
        <v>173</v>
      </c>
      <c r="K76" s="1294"/>
      <c r="L76" s="165"/>
      <c r="N76" s="408"/>
      <c r="AK76" s="408"/>
      <c r="AL76" s="408"/>
    </row>
    <row r="77" spans="1:53" ht="21" customHeight="1">
      <c r="E77" s="1346"/>
      <c r="F77" s="159"/>
      <c r="G77" s="1344"/>
      <c r="I77" s="1292" t="s">
        <v>176</v>
      </c>
      <c r="K77" s="1294"/>
      <c r="L77" s="165"/>
      <c r="N77" s="408"/>
      <c r="AK77" s="408"/>
      <c r="AL77" s="408"/>
    </row>
    <row r="78" spans="1:53" ht="21" customHeight="1">
      <c r="E78" s="1346"/>
      <c r="F78" s="159"/>
      <c r="G78" s="1344"/>
      <c r="I78" s="1292"/>
      <c r="K78" s="1294"/>
      <c r="L78" s="165"/>
      <c r="N78" s="408"/>
      <c r="AK78" s="408"/>
      <c r="AL78" s="408"/>
    </row>
    <row r="79" spans="1:53" ht="18" hidden="1" customHeight="1" thickBot="1">
      <c r="E79" s="1346"/>
      <c r="F79" s="159"/>
      <c r="G79" s="1344"/>
      <c r="I79" s="151"/>
      <c r="K79" s="1289"/>
      <c r="L79" s="165"/>
      <c r="N79" s="408"/>
      <c r="AK79" s="408"/>
      <c r="AL79" s="408"/>
    </row>
    <row r="80" spans="1:53" ht="21" customHeight="1" thickBot="1">
      <c r="E80" s="164"/>
      <c r="F80" s="164"/>
      <c r="G80" s="142"/>
      <c r="I80" s="151"/>
      <c r="K80" s="1051"/>
      <c r="L80" s="165"/>
      <c r="N80" s="408"/>
      <c r="AK80" s="408"/>
      <c r="AL80" s="408"/>
    </row>
    <row r="81" spans="4:38" ht="21" customHeight="1" thickTop="1">
      <c r="E81" s="1112"/>
      <c r="F81" s="159"/>
      <c r="G81" s="1290" t="s">
        <v>968</v>
      </c>
      <c r="I81" s="1287" t="s">
        <v>179</v>
      </c>
      <c r="K81" s="1288" t="s">
        <v>969</v>
      </c>
      <c r="L81" s="165"/>
      <c r="N81" s="408"/>
      <c r="AK81" s="408"/>
      <c r="AL81" s="408"/>
    </row>
    <row r="82" spans="4:38" ht="165" customHeight="1" thickBot="1">
      <c r="E82" s="1171" t="s">
        <v>218</v>
      </c>
      <c r="F82" s="159"/>
      <c r="G82" s="1290"/>
      <c r="I82" s="1287"/>
      <c r="K82" s="1289"/>
      <c r="L82" s="165"/>
      <c r="N82" s="408"/>
      <c r="AK82" s="408"/>
      <c r="AL82" s="408"/>
    </row>
    <row r="83" spans="4:38" ht="31" customHeight="1" thickTop="1">
      <c r="I83" s="151"/>
      <c r="K83" s="1051"/>
      <c r="L83" s="165"/>
      <c r="N83" s="408"/>
      <c r="AK83" s="408"/>
      <c r="AL83" s="408"/>
    </row>
    <row r="84" spans="4:38" ht="31" customHeight="1">
      <c r="I84" s="151"/>
      <c r="K84" s="1051"/>
      <c r="L84" s="165"/>
      <c r="N84" s="408"/>
      <c r="Y84" s="1106"/>
      <c r="AK84" s="408"/>
      <c r="AL84" s="408"/>
    </row>
    <row r="85" spans="4:38" ht="31" customHeight="1">
      <c r="D85" s="1111" t="s">
        <v>962</v>
      </c>
      <c r="E85" s="371"/>
      <c r="F85" s="371"/>
      <c r="G85" s="371"/>
      <c r="H85" s="1107"/>
      <c r="I85" s="1108"/>
      <c r="J85" s="1108"/>
      <c r="K85" s="1108"/>
      <c r="L85" s="165"/>
      <c r="N85" s="408"/>
      <c r="Y85" s="1106"/>
      <c r="AK85" s="408"/>
      <c r="AL85" s="408"/>
    </row>
    <row r="86" spans="4:38" ht="31" customHeight="1">
      <c r="D86" s="402"/>
      <c r="E86" s="203"/>
      <c r="F86" s="203"/>
      <c r="G86" s="203"/>
      <c r="I86" s="1047"/>
      <c r="J86" s="1047"/>
      <c r="K86" s="1047"/>
      <c r="L86" s="165"/>
      <c r="N86" s="408"/>
      <c r="Y86" s="1106"/>
      <c r="AK86" s="408"/>
      <c r="AL86" s="408"/>
    </row>
    <row r="87" spans="4:38" ht="31" customHeight="1">
      <c r="E87" s="1173" t="s">
        <v>962</v>
      </c>
      <c r="F87" s="349"/>
      <c r="G87" s="165"/>
      <c r="I87" s="1047"/>
      <c r="J87" s="1047"/>
      <c r="K87" s="1047"/>
      <c r="L87" s="165"/>
      <c r="N87" s="408"/>
      <c r="Y87" s="1106"/>
      <c r="AK87" s="408"/>
      <c r="AL87" s="408"/>
    </row>
    <row r="88" spans="4:38" ht="32" customHeight="1">
      <c r="I88" s="151"/>
      <c r="K88" s="1051"/>
      <c r="L88" s="165"/>
      <c r="N88" s="408"/>
      <c r="Y88" s="1056"/>
      <c r="AK88" s="408"/>
      <c r="AL88" s="408"/>
    </row>
    <row r="89" spans="4:38" ht="27" customHeight="1">
      <c r="D89" s="1109" t="s">
        <v>382</v>
      </c>
      <c r="E89" s="1112"/>
      <c r="F89" s="1122"/>
      <c r="G89" s="1112"/>
      <c r="H89" s="1123"/>
      <c r="I89" s="1112"/>
      <c r="J89" s="1107"/>
      <c r="K89" s="1124"/>
      <c r="L89" s="165"/>
      <c r="N89" s="408"/>
      <c r="Y89" s="1056"/>
      <c r="AK89" s="408"/>
      <c r="AL89" s="408"/>
    </row>
    <row r="90" spans="4:38" ht="18" customHeight="1">
      <c r="F90" s="1116"/>
      <c r="H90" s="1114"/>
      <c r="I90" s="151"/>
      <c r="K90" s="1051"/>
      <c r="L90" s="165"/>
      <c r="N90" s="408"/>
      <c r="Y90" s="1056"/>
      <c r="AK90" s="408"/>
      <c r="AL90" s="408"/>
    </row>
    <row r="91" spans="4:38" ht="18" customHeight="1">
      <c r="F91" s="1118"/>
      <c r="H91" s="1114"/>
      <c r="I91" s="151"/>
      <c r="K91" s="1051"/>
      <c r="L91" s="165"/>
      <c r="N91" s="408"/>
      <c r="Y91" s="1056"/>
      <c r="AK91" s="408"/>
      <c r="AL91" s="408"/>
    </row>
    <row r="92" spans="4:38" ht="18" customHeight="1">
      <c r="E92" s="1172" t="s">
        <v>382</v>
      </c>
      <c r="F92" s="1118"/>
      <c r="H92" s="1114"/>
      <c r="I92" s="151"/>
      <c r="K92" s="1051"/>
      <c r="L92" s="165"/>
      <c r="N92" s="408"/>
      <c r="Y92" s="1056"/>
      <c r="AK92" s="408"/>
      <c r="AL92" s="408"/>
    </row>
    <row r="93" spans="4:38" ht="18" customHeight="1">
      <c r="E93" s="1115"/>
      <c r="F93" s="1118"/>
      <c r="H93" s="1114"/>
      <c r="I93" s="151"/>
      <c r="K93" s="1051"/>
      <c r="L93" s="165"/>
      <c r="N93" s="408"/>
      <c r="Y93" s="1056"/>
      <c r="AK93" s="408"/>
      <c r="AL93" s="408"/>
    </row>
    <row r="94" spans="4:38" ht="18" customHeight="1">
      <c r="E94" s="1172" t="s">
        <v>381</v>
      </c>
      <c r="F94" s="151"/>
      <c r="I94" s="151"/>
      <c r="K94" s="1051"/>
      <c r="L94" s="165"/>
      <c r="N94" s="408"/>
      <c r="Y94" s="1056"/>
      <c r="AK94" s="408"/>
      <c r="AL94" s="408"/>
    </row>
    <row r="95" spans="4:38" ht="18" customHeight="1">
      <c r="E95" s="1117"/>
      <c r="F95" s="151"/>
      <c r="I95" s="151"/>
      <c r="K95" s="1051"/>
      <c r="L95" s="165"/>
      <c r="N95" s="408"/>
      <c r="Y95" s="1056"/>
      <c r="AK95" s="408"/>
      <c r="AL95" s="408"/>
    </row>
    <row r="96" spans="4:38" ht="18" customHeight="1">
      <c r="E96" s="1172" t="s">
        <v>380</v>
      </c>
      <c r="I96" s="151"/>
      <c r="K96" s="1051"/>
      <c r="L96" s="165"/>
      <c r="N96" s="408"/>
      <c r="Y96" s="1056"/>
      <c r="AK96" s="408"/>
      <c r="AL96" s="408"/>
    </row>
    <row r="97" spans="4:38" ht="18" customHeight="1">
      <c r="E97" s="154"/>
      <c r="I97" s="151"/>
      <c r="K97" s="1051"/>
      <c r="L97" s="165"/>
      <c r="N97" s="408"/>
      <c r="Y97" s="1056"/>
      <c r="AK97" s="408"/>
      <c r="AL97" s="408"/>
    </row>
    <row r="98" spans="4:38" ht="18" customHeight="1">
      <c r="K98" s="1051"/>
      <c r="L98" s="165"/>
      <c r="N98" s="408"/>
      <c r="AK98" s="408"/>
      <c r="AL98" s="408"/>
    </row>
    <row r="99" spans="4:38" ht="18" customHeight="1">
      <c r="D99" s="1047"/>
      <c r="F99" s="1047"/>
      <c r="G99" s="1047"/>
      <c r="K99" s="1051"/>
      <c r="L99" s="165"/>
      <c r="N99" s="408"/>
      <c r="AK99" s="408"/>
      <c r="AL99" s="408"/>
    </row>
    <row r="100" spans="4:38" ht="18" customHeight="1">
      <c r="E100" s="1047"/>
      <c r="F100" s="1047"/>
      <c r="G100" s="1047"/>
      <c r="K100" s="1051"/>
      <c r="L100" s="165"/>
      <c r="N100" s="408"/>
      <c r="AK100" s="408"/>
      <c r="AL100" s="408"/>
    </row>
    <row r="101" spans="4:38" ht="18" customHeight="1">
      <c r="E101" s="1047"/>
      <c r="F101" s="1047"/>
      <c r="G101" s="1047"/>
      <c r="K101" s="1051"/>
      <c r="L101" s="165"/>
      <c r="N101" s="408"/>
      <c r="AK101" s="408"/>
      <c r="AL101" s="408"/>
    </row>
    <row r="102" spans="4:38" ht="18" customHeight="1">
      <c r="E102" s="1047"/>
      <c r="F102" s="1047"/>
      <c r="G102" s="1047"/>
      <c r="K102" s="1051"/>
      <c r="L102" s="165"/>
      <c r="N102" s="408"/>
      <c r="AK102" s="408"/>
      <c r="AL102" s="408"/>
    </row>
    <row r="103" spans="4:38" ht="92" customHeight="1">
      <c r="E103" s="1047"/>
      <c r="F103" s="1047"/>
      <c r="G103" s="1047"/>
      <c r="K103" s="1051"/>
      <c r="L103" s="165"/>
      <c r="N103" s="408"/>
      <c r="AK103" s="408"/>
      <c r="AL103" s="408"/>
    </row>
    <row r="104" spans="4:38" ht="18" customHeight="1">
      <c r="E104" s="1047"/>
      <c r="F104" s="1047"/>
      <c r="G104" s="1047"/>
      <c r="K104" s="1051"/>
      <c r="L104" s="165"/>
      <c r="N104" s="408"/>
      <c r="AK104" s="408"/>
      <c r="AL104" s="408"/>
    </row>
    <row r="105" spans="4:38" ht="18" customHeight="1">
      <c r="E105" s="1047"/>
      <c r="F105" s="1047"/>
      <c r="G105" s="1047"/>
      <c r="K105" s="1051"/>
      <c r="L105" s="165"/>
      <c r="N105" s="408"/>
      <c r="AK105" s="408"/>
      <c r="AL105" s="408"/>
    </row>
    <row r="106" spans="4:38" ht="18" customHeight="1">
      <c r="E106" s="1047"/>
      <c r="F106" s="1047"/>
      <c r="G106" s="1047"/>
      <c r="K106" s="1051"/>
      <c r="L106" s="165"/>
      <c r="N106" s="408"/>
      <c r="Y106" s="1043"/>
      <c r="AK106" s="408"/>
      <c r="AL106" s="408"/>
    </row>
    <row r="107" spans="4:38" ht="18" customHeight="1">
      <c r="E107" s="1047"/>
      <c r="F107" s="1047"/>
      <c r="G107" s="1047"/>
      <c r="K107" s="1051"/>
      <c r="L107" s="165"/>
      <c r="N107" s="408"/>
      <c r="Y107" s="1043"/>
      <c r="AK107" s="408"/>
      <c r="AL107" s="408"/>
    </row>
    <row r="108" spans="4:38" ht="18" customHeight="1">
      <c r="E108" s="1047"/>
      <c r="F108" s="1047"/>
      <c r="G108" s="1047"/>
      <c r="K108" s="1051"/>
      <c r="L108" s="165"/>
      <c r="N108" s="408"/>
      <c r="Y108" s="1043"/>
      <c r="AK108" s="408"/>
      <c r="AL108" s="408"/>
    </row>
    <row r="109" spans="4:38" ht="18" customHeight="1">
      <c r="E109" s="1047"/>
      <c r="F109" s="1047"/>
      <c r="G109" s="1047"/>
      <c r="K109" s="1051"/>
      <c r="L109" s="165"/>
      <c r="N109" s="408"/>
      <c r="Y109" s="1043"/>
      <c r="AK109" s="408"/>
      <c r="AL109" s="408"/>
    </row>
    <row r="110" spans="4:38" ht="18" customHeight="1">
      <c r="E110" s="1047"/>
      <c r="F110" s="1047"/>
      <c r="G110" s="1047"/>
      <c r="K110" s="1051"/>
      <c r="L110" s="165"/>
      <c r="N110" s="408"/>
      <c r="Y110" s="1043"/>
      <c r="AK110" s="408"/>
      <c r="AL110" s="408"/>
    </row>
    <row r="111" spans="4:38" ht="18" customHeight="1">
      <c r="E111" s="1047"/>
      <c r="F111" s="1047"/>
      <c r="G111" s="1047"/>
      <c r="K111" s="1051"/>
      <c r="L111" s="165"/>
      <c r="N111" s="408"/>
      <c r="Y111" s="1043"/>
      <c r="AK111" s="408"/>
      <c r="AL111" s="408"/>
    </row>
    <row r="112" spans="4:38" ht="18" customHeight="1">
      <c r="E112" s="1047"/>
      <c r="F112" s="1047"/>
      <c r="G112" s="1047"/>
      <c r="K112" s="1051"/>
      <c r="L112" s="165"/>
      <c r="N112" s="408"/>
      <c r="Y112" s="1043"/>
      <c r="AK112" s="408"/>
      <c r="AL112" s="408"/>
    </row>
    <row r="113" spans="5:38" ht="18" customHeight="1">
      <c r="E113" s="1047"/>
      <c r="F113" s="1047"/>
      <c r="G113" s="1047"/>
      <c r="K113" s="1049"/>
      <c r="L113" s="165"/>
      <c r="N113" s="408"/>
      <c r="Y113" s="1043"/>
      <c r="AK113" s="408"/>
      <c r="AL113" s="408"/>
    </row>
    <row r="114" spans="5:38" ht="179" customHeight="1">
      <c r="E114" s="1047"/>
      <c r="F114" s="1047"/>
      <c r="G114" s="1047"/>
      <c r="K114" s="1049"/>
      <c r="L114" s="165"/>
      <c r="N114" s="408"/>
      <c r="AK114" s="408"/>
      <c r="AL114" s="408"/>
    </row>
    <row r="115" spans="5:38" ht="18" customHeight="1">
      <c r="E115" s="1047"/>
      <c r="F115" s="1047"/>
      <c r="G115" s="1047"/>
      <c r="K115" s="1049"/>
      <c r="L115" s="165"/>
      <c r="N115" s="408"/>
      <c r="AK115" s="408"/>
      <c r="AL115" s="408"/>
    </row>
    <row r="116" spans="5:38" ht="19" customHeight="1">
      <c r="E116" s="1047"/>
      <c r="F116" s="1047"/>
      <c r="G116" s="1047"/>
      <c r="L116" s="165"/>
      <c r="N116" s="408"/>
      <c r="AK116" s="408"/>
      <c r="AL116" s="408"/>
    </row>
    <row r="117" spans="5:38" ht="19" customHeight="1">
      <c r="L117" s="165"/>
      <c r="N117" s="408"/>
      <c r="Y117" s="1043"/>
      <c r="AK117" s="408"/>
      <c r="AL117" s="408"/>
    </row>
    <row r="118" spans="5:38" ht="19" customHeight="1">
      <c r="L118" s="165"/>
      <c r="N118" s="408"/>
      <c r="Y118" s="1043"/>
      <c r="AK118" s="408"/>
      <c r="AL118" s="408"/>
    </row>
    <row r="119" spans="5:38" ht="200" customHeight="1">
      <c r="L119" s="165"/>
      <c r="N119" s="408"/>
      <c r="AK119" s="408"/>
      <c r="AL119" s="408"/>
    </row>
    <row r="120" spans="5:38" ht="16" customHeight="1">
      <c r="L120" s="165"/>
      <c r="N120" s="408"/>
      <c r="AK120" s="408"/>
      <c r="AL120" s="408"/>
    </row>
    <row r="121" spans="5:38" ht="293" customHeight="1">
      <c r="L121" s="165"/>
      <c r="N121" s="408"/>
      <c r="AK121" s="408"/>
      <c r="AL121" s="408"/>
    </row>
    <row r="122" spans="5:38" ht="293" customHeight="1">
      <c r="L122" s="165"/>
      <c r="N122" s="408"/>
      <c r="Y122" s="1043"/>
      <c r="AK122" s="408"/>
      <c r="AL122" s="408"/>
    </row>
    <row r="123" spans="5:38" ht="18" customHeight="1">
      <c r="L123" s="165"/>
      <c r="N123" s="408"/>
      <c r="AK123" s="408"/>
      <c r="AL123" s="408"/>
    </row>
    <row r="124" spans="5:38" ht="19" customHeight="1">
      <c r="L124" s="165"/>
      <c r="N124" s="408"/>
      <c r="AK124" s="408"/>
      <c r="AL124" s="408"/>
    </row>
    <row r="125" spans="5:38" ht="18" customHeight="1">
      <c r="L125" s="165"/>
      <c r="N125" s="408"/>
      <c r="AK125" s="408"/>
      <c r="AL125" s="408"/>
    </row>
    <row r="126" spans="5:38" ht="19" customHeight="1">
      <c r="N126" s="408"/>
      <c r="AK126" s="408"/>
      <c r="AL126" s="408"/>
    </row>
    <row r="127" spans="5:38" ht="18" customHeight="1">
      <c r="N127" s="408"/>
      <c r="AK127" s="408"/>
      <c r="AL127" s="408"/>
    </row>
    <row r="128" spans="5:38" ht="18" customHeight="1">
      <c r="N128" s="408"/>
      <c r="AK128" s="408"/>
      <c r="AL128" s="408"/>
    </row>
    <row r="129" spans="14:38" ht="18" customHeight="1">
      <c r="N129" s="408"/>
      <c r="AK129" s="408"/>
      <c r="AL129" s="408"/>
    </row>
    <row r="130" spans="14:38" ht="18" customHeight="1">
      <c r="N130" s="408"/>
      <c r="AK130" s="408"/>
      <c r="AL130" s="408"/>
    </row>
    <row r="131" spans="14:38" ht="18" customHeight="1">
      <c r="N131" s="408"/>
      <c r="AK131" s="408"/>
      <c r="AL131" s="408"/>
    </row>
    <row r="132" spans="14:38" ht="18" customHeight="1">
      <c r="N132" s="408"/>
      <c r="AK132" s="408"/>
      <c r="AL132" s="408"/>
    </row>
    <row r="133" spans="14:38" ht="18" customHeight="1">
      <c r="N133" s="408"/>
      <c r="AK133" s="408"/>
      <c r="AL133" s="408"/>
    </row>
    <row r="134" spans="14:38" ht="18" customHeight="1">
      <c r="N134" s="408"/>
      <c r="AK134" s="408"/>
      <c r="AL134" s="408"/>
    </row>
    <row r="135" spans="14:38" ht="18" customHeight="1">
      <c r="N135" s="408"/>
      <c r="AK135" s="408"/>
      <c r="AL135" s="408"/>
    </row>
    <row r="136" spans="14:38" ht="18" customHeight="1">
      <c r="N136" s="408"/>
      <c r="AK136" s="408"/>
      <c r="AL136" s="408"/>
    </row>
    <row r="137" spans="14:38" ht="18" customHeight="1">
      <c r="N137" s="408"/>
      <c r="AK137" s="408"/>
      <c r="AL137" s="408"/>
    </row>
    <row r="138" spans="14:38" ht="18" customHeight="1">
      <c r="N138" s="408"/>
      <c r="AK138" s="408"/>
      <c r="AL138" s="408"/>
    </row>
    <row r="139" spans="14:38" ht="19" customHeight="1">
      <c r="N139" s="408"/>
      <c r="AK139" s="408"/>
      <c r="AL139" s="408"/>
    </row>
    <row r="140" spans="14:38">
      <c r="N140" s="408"/>
      <c r="AK140" s="408"/>
      <c r="AL140" s="408"/>
    </row>
    <row r="141" spans="14:38">
      <c r="N141" s="408"/>
      <c r="AK141" s="408"/>
      <c r="AL141" s="408"/>
    </row>
    <row r="142" spans="14:38">
      <c r="N142" s="408"/>
      <c r="AK142" s="408"/>
      <c r="AL142" s="408"/>
    </row>
    <row r="143" spans="14:38">
      <c r="N143" s="408"/>
      <c r="AK143" s="408"/>
      <c r="AL143" s="408"/>
    </row>
    <row r="144" spans="14:38">
      <c r="N144" s="408"/>
      <c r="AK144" s="408"/>
      <c r="AL144" s="408"/>
    </row>
    <row r="145" spans="14:38">
      <c r="N145" s="408"/>
      <c r="AK145" s="408"/>
      <c r="AL145" s="408"/>
    </row>
    <row r="146" spans="14:38">
      <c r="N146" s="408"/>
      <c r="AK146" s="408"/>
      <c r="AL146" s="408"/>
    </row>
    <row r="147" spans="14:38">
      <c r="N147" s="408"/>
      <c r="AK147" s="408"/>
      <c r="AL147" s="408"/>
    </row>
    <row r="148" spans="14:38">
      <c r="N148" s="408"/>
      <c r="AK148" s="408"/>
      <c r="AL148" s="408"/>
    </row>
    <row r="149" spans="14:38">
      <c r="N149" s="408"/>
      <c r="AK149" s="408"/>
      <c r="AL149" s="408"/>
    </row>
    <row r="150" spans="14:38">
      <c r="N150" s="408"/>
      <c r="AK150" s="408"/>
      <c r="AL150" s="408"/>
    </row>
    <row r="151" spans="14:38">
      <c r="N151" s="408"/>
      <c r="AK151" s="408"/>
      <c r="AL151" s="408"/>
    </row>
    <row r="152" spans="14:38">
      <c r="N152" s="408"/>
      <c r="AK152" s="408"/>
      <c r="AL152" s="408"/>
    </row>
    <row r="153" spans="14:38">
      <c r="N153" s="408"/>
      <c r="AK153" s="408"/>
      <c r="AL153" s="408"/>
    </row>
    <row r="154" spans="14:38">
      <c r="N154" s="408"/>
      <c r="AK154" s="408"/>
      <c r="AL154" s="408"/>
    </row>
    <row r="155" spans="14:38">
      <c r="N155" s="408"/>
      <c r="AK155" s="408"/>
      <c r="AL155" s="408"/>
    </row>
    <row r="156" spans="14:38">
      <c r="N156" s="408"/>
      <c r="AK156" s="408"/>
      <c r="AL156" s="408"/>
    </row>
    <row r="157" spans="14:38">
      <c r="N157" s="408"/>
      <c r="AK157" s="408"/>
      <c r="AL157" s="408"/>
    </row>
    <row r="158" spans="14:38">
      <c r="N158" s="408"/>
      <c r="AK158" s="408"/>
      <c r="AL158" s="408"/>
    </row>
    <row r="159" spans="14:38">
      <c r="N159" s="408"/>
      <c r="AK159" s="408"/>
      <c r="AL159" s="408"/>
    </row>
    <row r="160" spans="14:38">
      <c r="N160" s="408"/>
      <c r="AK160" s="408"/>
      <c r="AL160" s="408"/>
    </row>
    <row r="161" spans="14:38">
      <c r="N161" s="408"/>
      <c r="AK161" s="408"/>
      <c r="AL161" s="408"/>
    </row>
    <row r="162" spans="14:38">
      <c r="N162" s="408"/>
      <c r="AK162" s="408"/>
      <c r="AL162" s="408"/>
    </row>
    <row r="163" spans="14:38">
      <c r="N163" s="408"/>
      <c r="AK163" s="408"/>
      <c r="AL163" s="408"/>
    </row>
    <row r="164" spans="14:38">
      <c r="N164" s="408"/>
      <c r="AK164" s="408"/>
      <c r="AL164" s="408"/>
    </row>
    <row r="165" spans="14:38">
      <c r="N165" s="408"/>
      <c r="AK165" s="408"/>
      <c r="AL165" s="408"/>
    </row>
    <row r="166" spans="14:38">
      <c r="N166" s="408"/>
      <c r="AK166" s="408"/>
      <c r="AL166" s="408"/>
    </row>
    <row r="167" spans="14:38">
      <c r="N167" s="408"/>
      <c r="AK167" s="408"/>
      <c r="AL167" s="408"/>
    </row>
    <row r="168" spans="14:38">
      <c r="N168" s="408"/>
      <c r="AK168" s="408"/>
      <c r="AL168" s="408"/>
    </row>
    <row r="169" spans="14:38">
      <c r="N169" s="408"/>
      <c r="AK169" s="408"/>
      <c r="AL169" s="408"/>
    </row>
    <row r="170" spans="14:38">
      <c r="N170" s="408"/>
      <c r="AK170" s="408"/>
      <c r="AL170" s="408"/>
    </row>
    <row r="171" spans="14:38">
      <c r="N171" s="408"/>
      <c r="AK171" s="408"/>
      <c r="AL171" s="408"/>
    </row>
    <row r="172" spans="14:38">
      <c r="N172" s="408"/>
      <c r="AK172" s="408"/>
      <c r="AL172" s="408"/>
    </row>
    <row r="173" spans="14:38">
      <c r="N173" s="408"/>
      <c r="AL173" s="408"/>
    </row>
  </sheetData>
  <mergeCells count="47">
    <mergeCell ref="G76:G79"/>
    <mergeCell ref="E46:E63"/>
    <mergeCell ref="G65:G74"/>
    <mergeCell ref="E65:E79"/>
    <mergeCell ref="G37:G40"/>
    <mergeCell ref="E37:E44"/>
    <mergeCell ref="G50:G51"/>
    <mergeCell ref="G46:G47"/>
    <mergeCell ref="G55:G56"/>
    <mergeCell ref="AO14:AP15"/>
    <mergeCell ref="AT21:AV21"/>
    <mergeCell ref="AD6:AI16"/>
    <mergeCell ref="S19:AA25"/>
    <mergeCell ref="AO12:AP12"/>
    <mergeCell ref="AT13:AV13"/>
    <mergeCell ref="AT14:AV14"/>
    <mergeCell ref="AT15:AV15"/>
    <mergeCell ref="AT16:AV16"/>
    <mergeCell ref="AT30:AV30"/>
    <mergeCell ref="AT31:AV31"/>
    <mergeCell ref="AU33:AU36"/>
    <mergeCell ref="AV33:AV36"/>
    <mergeCell ref="AT7:AV7"/>
    <mergeCell ref="AT8:AV8"/>
    <mergeCell ref="AT9:AV9"/>
    <mergeCell ref="AT11:AV11"/>
    <mergeCell ref="AT12:AV12"/>
    <mergeCell ref="AT17:AV17"/>
    <mergeCell ref="AT18:AV18"/>
    <mergeCell ref="AT19:AV19"/>
    <mergeCell ref="AT20:AV20"/>
    <mergeCell ref="AO1:AQ1"/>
    <mergeCell ref="K1:L1"/>
    <mergeCell ref="I81:I82"/>
    <mergeCell ref="K81:K82"/>
    <mergeCell ref="G81:G82"/>
    <mergeCell ref="AO23:AP24"/>
    <mergeCell ref="I77:I78"/>
    <mergeCell ref="G59:G63"/>
    <mergeCell ref="K65:K79"/>
    <mergeCell ref="K46:K63"/>
    <mergeCell ref="K37:K44"/>
    <mergeCell ref="I47:I48"/>
    <mergeCell ref="I50:I51"/>
    <mergeCell ref="T1:V1"/>
    <mergeCell ref="AO20:AP21"/>
    <mergeCell ref="AO17:AP18"/>
  </mergeCells>
  <phoneticPr fontId="2" type="noConversion"/>
  <hyperlinks>
    <hyperlink ref="E14" location="Données!A1" display="Renseignement des données de l'entreprise" xr:uid="{00000000-0004-0000-0100-000000000000}"/>
    <hyperlink ref="I37" location="MIXITE!A16:A172" display="REPARTITION DES EFFECTIFS PAR CATEGORIE PROFESSIONNELLE" xr:uid="{00000000-0004-0000-0100-000001000000}"/>
    <hyperlink ref="I42" location="MIXITE!A17:A51" display="RÉPARTITION DES EFFECTIFS PAR SERVICE" xr:uid="{00000000-0004-0000-0100-000002000000}"/>
    <hyperlink ref="I43" location="MIXITE!A54:A91" display="RÉPARTITION DES EFFECTIFS PAR METIER" xr:uid="{00000000-0004-0000-0100-000003000000}"/>
    <hyperlink ref="I44" location="MIXITE!A93:A131" display="RÉPARTITION DES EFFECTIFS PAR EMPLOI" xr:uid="{00000000-0004-0000-0100-000004000000}"/>
    <hyperlink ref="I40" location="MIXITE!A264:A305" display="RÉPARTITION DES EMBAUCHES PAR TYPE DE CONTRAT" xr:uid="{00000000-0004-0000-0100-000005000000}"/>
    <hyperlink ref="I39" location="MIXITE!A221:A261" display="REPARTITION DES EFFECTIFS PAR TYPE DE CONTRAT" xr:uid="{00000000-0004-0000-0100-000006000000}"/>
    <hyperlink ref="I47" location="Parcours!A9:A49" display="REPARTITION DU NOMBRE MOYEN D'HEURES DE FORMATION PAR SALARIE ET PAR AN" xr:uid="{00000000-0004-0000-0100-000007000000}"/>
    <hyperlink ref="I54" location="Parcours!A53:A88" display="RÉPARTITION DES PROMOTIONS " xr:uid="{00000000-0004-0000-0100-000008000000}"/>
    <hyperlink ref="I55" location="Parcours!A92:A140" display="REPARTITION DES EFFECTIFS SELON L’ANCIENNETÉ MOYENNE " xr:uid="{00000000-0004-0000-0100-000009000000}"/>
    <hyperlink ref="I50" location="Parcours!A143:A183" display="RÉPARTITION DES EFFECTIFS SELON LES NIVEAUX D’EMPLOI DANS LA CLASSIFICATION" xr:uid="{00000000-0004-0000-0100-00000A000000}"/>
    <hyperlink ref="I59" location="Parcours!A187:A239" display="REMUNERATIONS " xr:uid="{00000000-0004-0000-0100-00000B000000}"/>
    <hyperlink ref="I76" location="'CONDITIONS TRAVAIL'!A1" display="REPARTITION DES EFFECTIFS SELON LES ACCIDENTS DU TRAVAIL" xr:uid="{00000000-0004-0000-0100-00000C000000}"/>
    <hyperlink ref="I77" location="'Conditions de travail'!A142:A195" display="REPARTITION DES EFFECTIFS SELON LES MALADIES PROFESSIONNELLES" xr:uid="{00000000-0004-0000-0100-00000D000000}"/>
    <hyperlink ref="I69" location="'CONDITIONS TRAVAIL'!A1" display="REPARTITION DES EFFECTIFS SELON LA DUREE DU TRAVAIL" xr:uid="{00000000-0004-0000-0100-00000E000000}"/>
    <hyperlink ref="I71" location="'CONDITIONS TRAVAIL'!A1" display="REPARTITION DES EFFECTIFS SELON L’ORGANISATION DU TRAVAIL" xr:uid="{00000000-0004-0000-0100-00000F000000}"/>
    <hyperlink ref="I81" location="'Articulation temps'!A1:A167" display="ARTICULATION DES TEMPS" xr:uid="{00000000-0004-0000-0100-000010000000}"/>
    <hyperlink ref="E94" location="'Bilan actions année N-1'!A1" display="BILAN DES ACTIONS DE L'ANNEE ECOULEE" xr:uid="{00000000-0004-0000-0100-000011000000}"/>
    <hyperlink ref="E96" location="'Trame accord ou plan d''actions'!A1" display="TRAME D'ACCORD ou PLAN D'ACTION" xr:uid="{00000000-0004-0000-0100-000012000000}"/>
    <hyperlink ref="I38" location="MIXITE!A175:A218" display="REPARTITION DES EFFECTIFS SELON L AGE MOYEN" xr:uid="{00000000-0004-0000-0100-000013000000}"/>
    <hyperlink ref="G27" location="'Note INDEX'!A1" display="Note INDEX" xr:uid="{00000000-0004-0000-0100-000016000000}"/>
    <hyperlink ref="G24" location="'INDIC.3 Ecart Tx Promotion'!A1" display="ECARTS DE PROMOTIONS (INDEX)" xr:uid="{00000000-0004-0000-0100-000017000000}"/>
    <hyperlink ref="G23" location="'INDIC.2 Ecart Tx Augmentation'!A1" display="ECARTS D'AUGMENTATIONS (INDEX)" xr:uid="{00000000-0004-0000-0100-000018000000}"/>
    <hyperlink ref="G22" location="'INDIC. 1 Ecart Rémunération'!A1" display="REMUNERATION EFFECTIVE (INDEX)" xr:uid="{00000000-0004-0000-0100-000019000000}"/>
    <hyperlink ref="G25" location="'INDIC.3 ou 4 A Maternité'!A1" display="INDIC.3 ou 4 - AUGMENTATIONS AU RETOUR DE CONGE MATERNITE" xr:uid="{00000000-0004-0000-0100-00001A000000}"/>
    <hyperlink ref="G26" location="'INDIC.4 ou 5 10+ Hautes Rému'!A1" display="10 PLUS HAUTES REMUNERATIONS (INDEX : projet d'intégration de colonnes automatiques si aidant pour les entreprises)" xr:uid="{00000000-0004-0000-0100-00001B000000}"/>
    <hyperlink ref="E10" location="'MEMO Loi'!A1" display="RAPPEL LOI" xr:uid="{00000000-0004-0000-0100-00001C000000}"/>
    <hyperlink ref="E8" location="'APPROCHE ANACT'!A1" display="APPROCHE EGALITE D'ACCES A LA QUALITE DE VIE AU TRAVAIL" xr:uid="{00000000-0004-0000-0100-00001D000000}"/>
    <hyperlink ref="E92" location="DIAGNOSTIC!A1" display="DIAGNOSTIC" xr:uid="{00000000-0004-0000-0100-000020000000}"/>
    <hyperlink ref="I61" location="Parcours!A243:A312" display="EVOLUTION" xr:uid="{00000000-0004-0000-0100-000021000000}"/>
    <hyperlink ref="AO14" r:id="rId1" location="Qu-est-ce-que-l-Index-de-l-egalite-professionnelle-entre-les-hommes-et-les-nbsp" display="Qu’est-ce que l’Index de l’égalité professionnelle entre les hommes et les femmes ?" xr:uid="{2BBF00AF-8BB0-D24C-B51E-88F999BC6121}"/>
    <hyperlink ref="AO20" r:id="rId2" location="Acceder-au-formulaire-de-transmission-de-l-Index-a-l-inspection-du-travail-nbsp" display="Accéder au formulaire de transmission de l’Index à l’inspection du travail pour l’année 2019" xr:uid="{4500D8CD-2540-FF4B-A459-C3DC41DDBED4}"/>
    <hyperlink ref="AO23" r:id="rId3" location="Acceder-au-formulaire-de-transmission-de-l-Index-a-l-inspection-du-travail-nbsp" display="Questions - réponses sur le calcul de l’Index" xr:uid="{1FD2F337-3781-A24B-803E-6F98B65BA0BF}"/>
    <hyperlink ref="AS14" r:id="rId4" xr:uid="{CFB90EA3-273C-7C44-9F18-1DDC085735A9}"/>
    <hyperlink ref="AS31" r:id="rId5" display="L.2312-18" xr:uid="{DE1A6150-95D3-094A-849F-026D1047CD8E}"/>
    <hyperlink ref="AS32" r:id="rId6" display="L.2312-21" xr:uid="{E35402E8-1AF7-B74B-AE67-EAF7C1F87DD8}"/>
    <hyperlink ref="AS33" r:id="rId7" display="L. 2312-36" xr:uid="{B32C66A0-C3FA-0444-B228-2202E0D895CA}"/>
    <hyperlink ref="AS16" r:id="rId8" xr:uid="{76782D87-700D-5B47-BCD6-B33412B1A593}"/>
    <hyperlink ref="AS18" r:id="rId9" display="D.1142-2" xr:uid="{324E3A77-8DC7-B24A-AFF6-E2A2BA02FBD9}"/>
    <hyperlink ref="AS34" r:id="rId10" xr:uid="{5718F24A-C1AB-C84A-8D92-7F3462D2344C}"/>
    <hyperlink ref="AS35" r:id="rId11" xr:uid="{81DD47A2-45F2-874C-956A-A878A4D96730}"/>
    <hyperlink ref="AT14" r:id="rId12" display="Art. L2242-8" xr:uid="{95E9DE93-A8C9-4E4C-BF89-04870E7C8DAA}"/>
    <hyperlink ref="AT16" r:id="rId13" display="D.2242-2" xr:uid="{8473A194-5F24-F94E-9D3F-BAEB83A458A4}"/>
    <hyperlink ref="AT15:AV15" r:id="rId14" display="Art. L 2242,2° : Négociation de l'égalité professionnelle" xr:uid="{94767F31-4D19-BE4C-9479-A275F1EE0F48}"/>
    <hyperlink ref="AS15" r:id="rId15" display="L.1142-9" xr:uid="{919FC94F-EF6D-3248-8641-D533F68E680F}"/>
    <hyperlink ref="AT14:AV14" r:id="rId16" display="Art. L2242-8 : Pénalité relative aux obligations de moyen" xr:uid="{BFA49829-B44E-D84B-B163-795F7EB22E9E}"/>
    <hyperlink ref="AT16:AV16" r:id="rId17" display="R.2242-2 : Contenu de l'accord ou du plan d'action relatif à l'égalité professionnelle" xr:uid="{4169EF60-0679-4B4C-ABDB-390E99D279C9}"/>
    <hyperlink ref="E8:F8" location="SOMMAIRE!Q2:AJ2" display="APPROCHE EGALITE ANACT " xr:uid="{79E878B9-6CCD-5E40-8C67-3A22E8CE1C89}"/>
    <hyperlink ref="E10:F10" location="SOMMAIRE!AM2:AV2" display="MEMO LOI" xr:uid="{DEB51F40-12B2-2641-A542-2FA46ACE13CA}"/>
    <hyperlink ref="T1" location="'Sommaire Outil'!A1" display="retour sommaire" xr:uid="{6AB30E5A-5C15-9943-911F-2B26DE05EDE4}"/>
    <hyperlink ref="E14" location="DONNEES!A1" display="DONNEES" xr:uid="{1E6EB655-0887-DF4C-9A84-C6E3CD23B473}"/>
    <hyperlink ref="AO17:AP18" r:id="rId18" display="&gt; Accéder au simulateur-calculateur en ligne pour calculer votre Index de l’égalité professionnelle" xr:uid="{73BA1E41-055E-5942-96FF-A4DB533C89B8}"/>
    <hyperlink ref="T1:V1" location="SOMMAIRE!C2:L2" display="SOMMAIRE" xr:uid="{14D9D294-FB0E-6E49-A471-22586C808490}"/>
    <hyperlink ref="AO1" location="'Sommaire Outil'!A1" display="retour sommaire" xr:uid="{13082B35-44E1-8244-A0E6-15EA85489D14}"/>
    <hyperlink ref="AO1:AQ1" location="SOMMAIRE!C2:L2" display="SOMMAIRE" xr:uid="{09C448F7-C23C-434D-B95D-D8FAE113CAA8}"/>
    <hyperlink ref="K1" location="'Bilan EGALIZ'!A1" display="BILAN EGALIZ" xr:uid="{77F79A94-0409-F140-AA19-79AD7607F217}"/>
    <hyperlink ref="K1:L1" location="DIAGNOSTIC!A1" display="BILAN EGALIZ" xr:uid="{63EBB1C8-401F-474E-9A1D-30524EE83E41}"/>
    <hyperlink ref="E37:E44" location="MIXITE!A1" display="MIXITE" xr:uid="{3F27D965-E9B7-6649-8096-4B493073EF94}"/>
    <hyperlink ref="E46:E63" location="PARCOURS!A1" display="PARCOURS" xr:uid="{BEF5CAAE-FE37-AD46-800F-D6563571E86B}"/>
    <hyperlink ref="E65:E79" location="'CONDITIONS TRAVAIL'!A1" display="CONDITIONS DE TRAVAIL" xr:uid="{3811DF2D-506D-8447-90EE-BA25166A1521}"/>
    <hyperlink ref="E82" location="'ARTICULATION TEMPS'!A1" display="ARTICULATION TEMPS" xr:uid="{E318E57D-1AE1-B044-92FF-4C13481F7FBF}"/>
    <hyperlink ref="E87" location="ACTUALITE!A1" display="ACTUALITE" xr:uid="{20992B5F-3974-A94B-BE10-23B728E0CFA0}"/>
    <hyperlink ref="E87" location="PRONOSTIC!A1" display="PRONOSTIC" xr:uid="{6DA80F67-D4E3-FA4F-988F-4D2C1C1DFD0A}"/>
    <hyperlink ref="E16" location="Paramètres!A1" display="PARAMETRES" xr:uid="{8ED5AFF5-CE53-1241-A3B7-F6EEAE58716D}"/>
    <hyperlink ref="I77:I78" location="'CONDITIONS TRAVAIL'!A1" display="REPARTITION DES EFFECTIFS SELON LES MALADIES PROFESSIONNELLES" xr:uid="{5E543B58-CD01-1F4F-999E-FC2759A1E0EE}"/>
  </hyperlinks>
  <pageMargins left="0.74803149606299213" right="0.74803149606299213" top="0.98425196850393704" bottom="0.98425196850393704" header="0.51181102362204722" footer="0.51181102362204722"/>
  <pageSetup paperSize="9" scale="29" orientation="landscape" horizontalDpi="4294967292" verticalDpi="4294967292"/>
  <headerFooter alignWithMargins="0"/>
  <drawing r:id="rId1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pageSetUpPr fitToPage="1"/>
  </sheetPr>
  <dimension ref="A1:BB334"/>
  <sheetViews>
    <sheetView showGridLines="0" tabSelected="1" topLeftCell="T1" workbookViewId="0">
      <selection activeCell="AG20" sqref="AG20"/>
    </sheetView>
  </sheetViews>
  <sheetFormatPr baseColWidth="10" defaultColWidth="10.83203125" defaultRowHeight="13"/>
  <cols>
    <col min="1" max="1" width="29.5" style="1" customWidth="1"/>
    <col min="2" max="2" width="12" style="1" customWidth="1"/>
    <col min="3" max="3" width="15.5" style="1" customWidth="1"/>
    <col min="4" max="4" width="15.5" style="2" customWidth="1"/>
    <col min="5" max="5" width="12.6640625" style="2" customWidth="1"/>
    <col min="6" max="6" width="14.33203125" style="2" bestFit="1" customWidth="1"/>
    <col min="7" max="7" width="12.6640625" style="2" customWidth="1"/>
    <col min="8" max="8" width="17.83203125" style="2" customWidth="1"/>
    <col min="9" max="9" width="12.83203125" style="2" customWidth="1"/>
    <col min="10" max="10" width="13.1640625" style="2" customWidth="1"/>
    <col min="11" max="11" width="19.5" style="1" customWidth="1"/>
    <col min="12" max="12" width="10.83203125" style="1" customWidth="1"/>
    <col min="13" max="13" width="13" style="1" customWidth="1"/>
    <col min="14" max="14" width="16.5" style="1" customWidth="1"/>
    <col min="15" max="15" width="12.83203125" style="1" customWidth="1"/>
    <col min="16" max="16" width="13.5" style="1" customWidth="1"/>
    <col min="17" max="17" width="9.6640625" style="76" customWidth="1"/>
    <col min="18" max="18" width="14.83203125" style="5" customWidth="1"/>
    <col min="19" max="19" width="14.33203125" style="5" bestFit="1" customWidth="1"/>
    <col min="20" max="20" width="22.1640625" style="5" customWidth="1"/>
    <col min="21" max="21" width="18.33203125" style="5" customWidth="1"/>
    <col min="22" max="22" width="20" style="5" customWidth="1"/>
    <col min="23" max="23" width="10.33203125" style="5" customWidth="1"/>
    <col min="24" max="24" width="20.83203125" style="1" customWidth="1"/>
    <col min="25" max="25" width="16.83203125" style="1" customWidth="1"/>
    <col min="26" max="26" width="16.33203125" style="1" customWidth="1"/>
    <col min="27" max="27" width="14.5" style="11" customWidth="1"/>
    <col min="28" max="28" width="6.1640625" style="69" customWidth="1"/>
    <col min="29" max="29" width="13" style="69" customWidth="1"/>
    <col min="30" max="30" width="14.83203125" style="69" customWidth="1"/>
    <col min="31" max="31" width="14" style="69" customWidth="1"/>
    <col min="32" max="32" width="15.1640625" style="69" customWidth="1"/>
    <col min="33" max="33" width="19.6640625" style="1" customWidth="1"/>
    <col min="34" max="34" width="12.5" style="1" customWidth="1"/>
    <col min="35" max="35" width="1" style="1" customWidth="1"/>
    <col min="36" max="38" width="10.83203125" style="1"/>
    <col min="39" max="39" width="14.83203125" style="1" customWidth="1"/>
    <col min="40" max="16384" width="10.83203125" style="1"/>
  </cols>
  <sheetData>
    <row r="1" spans="1:54" s="127" customFormat="1" ht="37" customHeight="1">
      <c r="C1" s="1165" t="s">
        <v>980</v>
      </c>
      <c r="D1" s="1164"/>
      <c r="E1" s="1164"/>
      <c r="F1" s="128"/>
      <c r="G1" s="128"/>
      <c r="J1" s="1007"/>
      <c r="K1" s="1007"/>
      <c r="L1" s="1007"/>
      <c r="M1" s="1007"/>
      <c r="R1" s="1286" t="s">
        <v>382</v>
      </c>
      <c r="S1" s="1286"/>
      <c r="T1" s="129"/>
      <c r="U1" s="129"/>
      <c r="V1" s="129"/>
      <c r="W1" s="129"/>
    </row>
    <row r="2" spans="1:54" s="11" customFormat="1">
      <c r="D2" s="12"/>
      <c r="E2" s="12"/>
      <c r="F2" s="12"/>
      <c r="G2" s="4"/>
      <c r="H2" s="39"/>
      <c r="I2" s="1349"/>
      <c r="J2" s="1349"/>
      <c r="R2" s="13"/>
      <c r="S2" s="13"/>
      <c r="T2" s="13"/>
      <c r="U2" s="13"/>
      <c r="V2" s="13"/>
      <c r="W2" s="13"/>
    </row>
    <row r="3" spans="1:54" s="11" customFormat="1" ht="16">
      <c r="A3" s="39"/>
      <c r="B3" s="160"/>
      <c r="D3" s="12"/>
      <c r="E3" s="12"/>
      <c r="F3" s="12"/>
      <c r="G3" s="4"/>
      <c r="H3" s="1006" t="s">
        <v>946</v>
      </c>
      <c r="I3" s="1008"/>
      <c r="J3" s="1030" t="s">
        <v>947</v>
      </c>
      <c r="R3" s="13"/>
      <c r="T3" s="13"/>
      <c r="U3" s="13"/>
      <c r="V3" s="13"/>
    </row>
    <row r="4" spans="1:54" s="11" customFormat="1" ht="16">
      <c r="A4" s="39"/>
      <c r="B4" s="160"/>
      <c r="D4" s="12"/>
      <c r="E4" s="12"/>
      <c r="G4" s="4"/>
      <c r="H4" s="4"/>
      <c r="I4" s="1349"/>
      <c r="J4" s="1349"/>
      <c r="R4" s="13"/>
      <c r="T4" s="13"/>
      <c r="U4" s="13"/>
      <c r="V4" s="13"/>
    </row>
    <row r="5" spans="1:54" s="11" customFormat="1">
      <c r="A5" s="36"/>
      <c r="D5" s="12"/>
      <c r="E5" s="12"/>
      <c r="G5" s="4"/>
      <c r="H5" s="4"/>
      <c r="I5" s="1349"/>
      <c r="J5" s="1349"/>
      <c r="L5" s="671"/>
      <c r="M5" s="670"/>
      <c r="N5" s="670"/>
      <c r="O5" s="670"/>
      <c r="P5" s="670"/>
      <c r="R5" s="13"/>
      <c r="T5" s="644"/>
      <c r="U5" s="13"/>
      <c r="V5" s="13"/>
    </row>
    <row r="6" spans="1:54" s="11" customFormat="1" ht="23">
      <c r="A6" s="243" t="s">
        <v>129</v>
      </c>
      <c r="D6" s="12"/>
      <c r="E6" s="12"/>
      <c r="F6"/>
      <c r="G6" s="4"/>
      <c r="H6" s="4"/>
      <c r="I6" s="1349"/>
      <c r="J6" s="1349"/>
      <c r="R6" s="13"/>
      <c r="S6"/>
      <c r="T6" s="13"/>
      <c r="U6" s="13"/>
      <c r="V6" s="13"/>
    </row>
    <row r="7" spans="1:54" s="11" customFormat="1" ht="16">
      <c r="A7" s="213">
        <v>44075</v>
      </c>
      <c r="D7" s="12"/>
      <c r="E7" s="12"/>
      <c r="F7" s="12"/>
      <c r="G7" s="4"/>
      <c r="H7" s="1139"/>
      <c r="I7" s="1349"/>
      <c r="J7" s="1349"/>
      <c r="R7" s="13"/>
      <c r="S7" s="13"/>
      <c r="T7" s="13"/>
      <c r="U7" s="13"/>
      <c r="V7" s="13"/>
      <c r="W7" s="13"/>
    </row>
    <row r="8" spans="1:54" s="11" customFormat="1">
      <c r="D8" s="12"/>
      <c r="E8" s="12"/>
      <c r="F8" s="12"/>
      <c r="G8" s="4"/>
      <c r="H8" s="1139"/>
      <c r="I8" s="1349"/>
      <c r="J8" s="1349"/>
      <c r="R8" s="13"/>
      <c r="S8" s="13"/>
      <c r="T8" s="13"/>
      <c r="U8" s="13"/>
      <c r="V8" s="13"/>
      <c r="W8" s="13"/>
    </row>
    <row r="9" spans="1:54" s="78" customFormat="1">
      <c r="C9" s="11"/>
      <c r="D9" s="12"/>
      <c r="E9" s="12"/>
      <c r="F9" s="12"/>
      <c r="G9" s="11"/>
      <c r="H9" s="12"/>
      <c r="I9" s="12"/>
      <c r="J9" s="12"/>
      <c r="L9" s="11"/>
      <c r="M9" s="11"/>
      <c r="N9" s="11"/>
      <c r="O9" s="11"/>
      <c r="P9" s="11"/>
      <c r="Q9" s="11"/>
      <c r="R9" s="13"/>
      <c r="S9" s="13"/>
      <c r="T9" s="13"/>
      <c r="U9" s="13"/>
      <c r="V9" s="13"/>
      <c r="W9" s="13"/>
      <c r="X9" s="11"/>
      <c r="Y9" s="11"/>
      <c r="AA9" s="11"/>
      <c r="AB9" s="11"/>
      <c r="AC9" s="11"/>
      <c r="AD9" s="11"/>
      <c r="AE9" s="11"/>
      <c r="AF9" s="11"/>
      <c r="AG9" s="11"/>
    </row>
    <row r="10" spans="1:54" s="78" customFormat="1">
      <c r="A10" s="11"/>
      <c r="B10" s="214"/>
      <c r="C10" s="11"/>
      <c r="D10" s="12"/>
      <c r="E10" s="12"/>
      <c r="F10" s="12"/>
      <c r="G10" s="11"/>
      <c r="H10" s="12"/>
      <c r="I10" s="12"/>
      <c r="J10" s="12"/>
      <c r="L10" s="11"/>
      <c r="M10" s="11"/>
      <c r="N10" s="11"/>
      <c r="O10" s="11"/>
      <c r="P10" s="11"/>
      <c r="Q10" s="11"/>
      <c r="R10" s="13"/>
      <c r="S10" s="13"/>
      <c r="T10" s="13"/>
      <c r="U10" s="13"/>
      <c r="V10" s="13"/>
      <c r="W10" s="13"/>
      <c r="X10" s="11"/>
      <c r="Y10" s="11"/>
      <c r="AA10" s="11"/>
      <c r="AB10" s="11"/>
      <c r="AC10" s="11"/>
      <c r="AD10" s="11"/>
      <c r="AE10" s="11"/>
      <c r="AF10" s="11"/>
      <c r="AG10" s="11"/>
    </row>
    <row r="11" spans="1:54" s="78" customFormat="1" ht="185" customHeight="1">
      <c r="A11" s="11"/>
      <c r="B11" s="11"/>
      <c r="C11" s="11"/>
      <c r="D11" s="12"/>
      <c r="E11" s="12"/>
      <c r="F11" s="12"/>
      <c r="G11" s="12"/>
      <c r="H11" s="12"/>
      <c r="I11" s="12"/>
      <c r="J11" s="12"/>
      <c r="L11" s="11"/>
      <c r="M11" s="11"/>
      <c r="N11" s="11"/>
      <c r="O11" s="11"/>
      <c r="P11" s="11"/>
      <c r="Q11" s="11"/>
      <c r="R11" s="13"/>
      <c r="S11" s="13"/>
      <c r="T11" s="13"/>
      <c r="U11" s="13"/>
      <c r="V11" s="13"/>
      <c r="W11" s="13"/>
      <c r="X11" s="11"/>
      <c r="Y11" s="11"/>
      <c r="Z11" s="11"/>
      <c r="AA11" s="11"/>
      <c r="AB11" s="11"/>
      <c r="AC11" s="11"/>
      <c r="AD11" s="11"/>
      <c r="AE11" s="11"/>
      <c r="AF11" s="11"/>
      <c r="AG11" s="11"/>
    </row>
    <row r="12" spans="1:54" s="78" customFormat="1" ht="13" customHeight="1">
      <c r="A12" s="11"/>
      <c r="B12" s="11"/>
      <c r="C12" s="11"/>
      <c r="D12" s="12"/>
      <c r="E12" s="12"/>
      <c r="F12" s="12"/>
      <c r="G12" s="12"/>
      <c r="H12" s="12"/>
      <c r="I12" s="12"/>
      <c r="J12" s="12"/>
      <c r="K12" s="11"/>
      <c r="L12" s="11"/>
      <c r="M12" s="11"/>
      <c r="N12" s="11"/>
      <c r="O12" s="11"/>
      <c r="P12" s="11"/>
      <c r="Q12" s="11"/>
      <c r="R12" s="13"/>
      <c r="S12" s="13"/>
      <c r="T12" s="13"/>
      <c r="U12" s="13"/>
      <c r="V12" s="13"/>
      <c r="W12" s="13"/>
      <c r="X12" s="11"/>
      <c r="Y12" s="11"/>
      <c r="Z12" s="11"/>
      <c r="AA12" s="11"/>
      <c r="AB12" s="11"/>
      <c r="AC12" s="11"/>
      <c r="AD12" s="11"/>
      <c r="AE12" s="11"/>
      <c r="AF12" s="11"/>
      <c r="AG12" s="11"/>
    </row>
    <row r="13" spans="1:54" s="78" customFormat="1" ht="33" customHeight="1">
      <c r="A13" s="11"/>
      <c r="B13" s="487" t="s">
        <v>548</v>
      </c>
      <c r="C13" s="11"/>
      <c r="D13" s="12"/>
      <c r="E13" s="12"/>
      <c r="F13" s="12"/>
      <c r="G13" s="12"/>
      <c r="H13" s="12"/>
      <c r="I13" s="12"/>
      <c r="J13" s="12"/>
      <c r="K13" s="11"/>
      <c r="L13" s="11"/>
      <c r="M13" s="11"/>
      <c r="N13" s="11"/>
      <c r="O13" s="11"/>
      <c r="P13" s="11"/>
      <c r="Q13" s="11"/>
      <c r="R13" s="13"/>
      <c r="S13" s="13"/>
      <c r="T13" s="13"/>
      <c r="V13" s="952"/>
      <c r="W13" s="13"/>
      <c r="X13" s="11"/>
      <c r="Y13" s="11"/>
      <c r="Z13" s="11"/>
      <c r="AA13" s="11"/>
      <c r="AB13" s="11"/>
      <c r="AC13" s="11"/>
      <c r="AD13" s="11"/>
      <c r="AE13" s="11"/>
      <c r="AF13" s="11"/>
      <c r="AG13" s="11"/>
      <c r="AH13" s="629" t="s">
        <v>631</v>
      </c>
      <c r="AI13" s="629"/>
    </row>
    <row r="14" spans="1:54" s="496" customFormat="1" ht="59" customHeight="1">
      <c r="A14" s="488" t="s">
        <v>4</v>
      </c>
      <c r="B14" s="489" t="s">
        <v>14</v>
      </c>
      <c r="C14" s="489" t="s">
        <v>15</v>
      </c>
      <c r="D14" s="490" t="s">
        <v>53</v>
      </c>
      <c r="E14" s="490" t="s">
        <v>500</v>
      </c>
      <c r="F14" s="1028" t="s">
        <v>12</v>
      </c>
      <c r="G14" s="491" t="s">
        <v>372</v>
      </c>
      <c r="H14" s="491" t="s">
        <v>373</v>
      </c>
      <c r="I14" s="490" t="s">
        <v>24</v>
      </c>
      <c r="J14" s="490" t="s">
        <v>17</v>
      </c>
      <c r="K14" s="489" t="s">
        <v>54</v>
      </c>
      <c r="L14" s="492" t="s">
        <v>417</v>
      </c>
      <c r="M14" s="489" t="s">
        <v>55</v>
      </c>
      <c r="N14" s="489" t="s">
        <v>2</v>
      </c>
      <c r="O14" s="492" t="s">
        <v>238</v>
      </c>
      <c r="P14" s="489" t="s">
        <v>57</v>
      </c>
      <c r="Q14" s="489" t="s">
        <v>25</v>
      </c>
      <c r="R14" s="493" t="s">
        <v>19</v>
      </c>
      <c r="S14" s="494" t="s">
        <v>71</v>
      </c>
      <c r="T14" s="494" t="s">
        <v>72</v>
      </c>
      <c r="U14" s="951" t="s">
        <v>888</v>
      </c>
      <c r="V14" s="493" t="s">
        <v>341</v>
      </c>
      <c r="W14" s="493" t="s">
        <v>552</v>
      </c>
      <c r="X14" s="489" t="s">
        <v>138</v>
      </c>
      <c r="Y14" s="489" t="s">
        <v>137</v>
      </c>
      <c r="Z14" s="492" t="s">
        <v>389</v>
      </c>
      <c r="AA14" s="1209" t="s">
        <v>994</v>
      </c>
      <c r="AB14" s="495" t="s">
        <v>26</v>
      </c>
      <c r="AC14" s="495" t="s">
        <v>41</v>
      </c>
      <c r="AD14" s="492" t="s">
        <v>240</v>
      </c>
      <c r="AE14" s="495" t="s">
        <v>21</v>
      </c>
      <c r="AF14" s="495" t="s">
        <v>60</v>
      </c>
      <c r="AG14" s="492" t="s">
        <v>237</v>
      </c>
      <c r="AH14" s="630" t="s">
        <v>619</v>
      </c>
      <c r="AI14" s="1004" t="s">
        <v>940</v>
      </c>
      <c r="AN14"/>
      <c r="AO14"/>
      <c r="AS14" s="862" t="str">
        <f>coefchoisi</f>
        <v>Nouvelle cotation propre</v>
      </c>
    </row>
    <row r="15" spans="1:54" ht="14">
      <c r="A15" t="s">
        <v>633</v>
      </c>
      <c r="B15" s="471" t="s">
        <v>27</v>
      </c>
      <c r="C15" s="651">
        <v>21563</v>
      </c>
      <c r="D15" s="652">
        <v>34745</v>
      </c>
      <c r="E15" s="473" t="s">
        <v>535</v>
      </c>
      <c r="F15" s="1029" t="s">
        <v>3</v>
      </c>
      <c r="G15" s="472" t="s">
        <v>396</v>
      </c>
      <c r="H15" s="472" t="s">
        <v>392</v>
      </c>
      <c r="I15" s="474" t="s">
        <v>22</v>
      </c>
      <c r="J15" s="474" t="s">
        <v>28</v>
      </c>
      <c r="K15" s="475" t="s">
        <v>43</v>
      </c>
      <c r="L15" s="861" t="str">
        <f t="shared" ref="L15:L78" si="0">"salarié"</f>
        <v>salarié</v>
      </c>
      <c r="M15" s="483" t="s">
        <v>48</v>
      </c>
      <c r="N15" s="483" t="s">
        <v>0</v>
      </c>
      <c r="O15" s="484">
        <v>0.5</v>
      </c>
      <c r="P15" s="476" t="s">
        <v>58</v>
      </c>
      <c r="Q15" s="477" t="s">
        <v>34</v>
      </c>
      <c r="R15" s="478">
        <v>0</v>
      </c>
      <c r="S15" s="479">
        <v>7</v>
      </c>
      <c r="T15" s="1">
        <v>22240</v>
      </c>
      <c r="U15" s="655">
        <v>15301.473660819251</v>
      </c>
      <c r="V15" s="479">
        <v>100</v>
      </c>
      <c r="W15" s="483">
        <v>0</v>
      </c>
      <c r="X15" s="476">
        <v>0</v>
      </c>
      <c r="Y15" s="476">
        <v>1</v>
      </c>
      <c r="Z15" s="476">
        <v>0</v>
      </c>
      <c r="AA15" s="480" t="s">
        <v>995</v>
      </c>
      <c r="AB15" s="561">
        <f t="shared" ref="AB15:AB78" si="1">IF(ISBLANK(C15),"",DATEDIF(C15,dref,"y"))</f>
        <v>61</v>
      </c>
      <c r="AC15" s="561">
        <f t="shared" ref="AC15:AC78" si="2">IF(ISBLANK(C15),"",DATEDIF(D15,dref,"y"))</f>
        <v>25</v>
      </c>
      <c r="AD15" s="624" t="str">
        <f>IF(AB15="","",VLOOKUP(AB15,trancheage[],2,TRUE))</f>
        <v>50 ans et plus</v>
      </c>
      <c r="AE15" s="628" t="str">
        <f>IFERROR(VLOOKUP(AC15,trancheanciennete[],2,TRUE),"")</f>
        <v>6 : 25-29</v>
      </c>
      <c r="AF15" s="625" t="str">
        <f>IF(T15&gt;0,VLOOKUP(T15,Trancheremuneration[],2,TRUE),"")</f>
        <v>4: 20 000-23 000</v>
      </c>
      <c r="AG15" s="623">
        <f t="shared" ref="AG15:AG78" si="3">IF((U15*(1+(100%-O15)))+V15=0,"",(U15*(1+(100%-O15)))+V15)</f>
        <v>23052.210491228878</v>
      </c>
      <c r="AH15" s="631" t="str">
        <f t="shared" ref="AH15:AH78" si="4">IF(coefchoisi=$AS$15,F15,IF(coefchoisi=$AS$16,G15,IF(coefchoisi=$AS$17,H15,1)))</f>
        <v>catégorie 1</v>
      </c>
      <c r="AI15" s="631" t="s">
        <v>531</v>
      </c>
      <c r="AN15"/>
      <c r="AO15"/>
      <c r="AS15" s="1" t="s">
        <v>629</v>
      </c>
    </row>
    <row r="16" spans="1:54" ht="14">
      <c r="A16" t="s">
        <v>583</v>
      </c>
      <c r="B16" s="471" t="s">
        <v>27</v>
      </c>
      <c r="C16" s="651">
        <v>21809</v>
      </c>
      <c r="D16" s="652">
        <v>27747</v>
      </c>
      <c r="E16" s="473" t="s">
        <v>505</v>
      </c>
      <c r="F16" s="1029" t="s">
        <v>50</v>
      </c>
      <c r="G16" s="472" t="s">
        <v>397</v>
      </c>
      <c r="H16" s="472" t="s">
        <v>392</v>
      </c>
      <c r="I16" s="474" t="s">
        <v>22</v>
      </c>
      <c r="J16" s="474" t="s">
        <v>284</v>
      </c>
      <c r="K16" s="475" t="s">
        <v>11</v>
      </c>
      <c r="L16" s="861" t="str">
        <f t="shared" si="0"/>
        <v>salarié</v>
      </c>
      <c r="M16" s="485" t="s">
        <v>48</v>
      </c>
      <c r="N16" s="485" t="s">
        <v>0</v>
      </c>
      <c r="O16" s="486">
        <v>0.8</v>
      </c>
      <c r="P16" s="481" t="s">
        <v>58</v>
      </c>
      <c r="Q16" s="482" t="s">
        <v>34</v>
      </c>
      <c r="R16" s="478">
        <v>0</v>
      </c>
      <c r="S16" s="479">
        <v>14</v>
      </c>
      <c r="T16" s="1">
        <v>20320</v>
      </c>
      <c r="U16" s="656">
        <v>12191.418489269836</v>
      </c>
      <c r="V16" s="479">
        <v>250</v>
      </c>
      <c r="W16" s="483">
        <v>0</v>
      </c>
      <c r="X16" s="476">
        <v>0</v>
      </c>
      <c r="Y16" s="476">
        <v>0</v>
      </c>
      <c r="Z16" s="476">
        <v>0</v>
      </c>
      <c r="AA16" s="480" t="s">
        <v>995</v>
      </c>
      <c r="AB16" s="561">
        <f t="shared" si="1"/>
        <v>60</v>
      </c>
      <c r="AC16" s="561">
        <f t="shared" si="2"/>
        <v>44</v>
      </c>
      <c r="AD16" s="624" t="str">
        <f>IF(AB16="","",VLOOKUP(AB16,trancheage[],2,TRUE))</f>
        <v>50 ans et plus</v>
      </c>
      <c r="AE16" s="624" t="str">
        <f>IFERROR(VLOOKUP(AC16,trancheanciennete[],2,TRUE),"")</f>
        <v>9 : 40 et +</v>
      </c>
      <c r="AF16" s="625" t="str">
        <f>IF(T16&gt;0,VLOOKUP(T16,Trancheremuneration[],2,TRUE),"")</f>
        <v>4: 20 000-23 000</v>
      </c>
      <c r="AG16" s="623">
        <f t="shared" si="3"/>
        <v>14879.702187123803</v>
      </c>
      <c r="AH16" s="631" t="str">
        <f t="shared" si="4"/>
        <v>catégorie 1</v>
      </c>
      <c r="AI16" s="631" t="s">
        <v>946</v>
      </c>
      <c r="AN16"/>
      <c r="AO16"/>
      <c r="AS16" s="1" t="s">
        <v>630</v>
      </c>
      <c r="BB16" s="1" t="s">
        <v>943</v>
      </c>
    </row>
    <row r="17" spans="1:54" ht="14">
      <c r="A17" t="s">
        <v>634</v>
      </c>
      <c r="B17" s="471" t="s">
        <v>27</v>
      </c>
      <c r="C17" s="651">
        <v>21660</v>
      </c>
      <c r="D17" s="652">
        <v>28549</v>
      </c>
      <c r="E17" s="473" t="s">
        <v>504</v>
      </c>
      <c r="F17" s="1029" t="s">
        <v>49</v>
      </c>
      <c r="G17" s="472" t="s">
        <v>398</v>
      </c>
      <c r="H17" s="472" t="s">
        <v>392</v>
      </c>
      <c r="I17" s="474" t="s">
        <v>23</v>
      </c>
      <c r="J17" s="474" t="s">
        <v>18</v>
      </c>
      <c r="K17" s="475" t="s">
        <v>44</v>
      </c>
      <c r="L17" s="861" t="str">
        <f t="shared" si="0"/>
        <v>salarié</v>
      </c>
      <c r="M17" s="485" t="s">
        <v>42</v>
      </c>
      <c r="N17" s="485" t="s">
        <v>0</v>
      </c>
      <c r="O17" s="486">
        <v>0.8</v>
      </c>
      <c r="P17" s="481" t="s">
        <v>59</v>
      </c>
      <c r="Q17" s="482" t="s">
        <v>31</v>
      </c>
      <c r="R17" s="478">
        <v>0</v>
      </c>
      <c r="S17" s="479">
        <v>7</v>
      </c>
      <c r="T17" s="1">
        <v>14320</v>
      </c>
      <c r="U17" s="656">
        <v>21896.184838227273</v>
      </c>
      <c r="V17" s="479">
        <v>250</v>
      </c>
      <c r="W17" s="483">
        <v>1</v>
      </c>
      <c r="X17" s="476">
        <v>1</v>
      </c>
      <c r="Y17" s="476">
        <v>1</v>
      </c>
      <c r="Z17" s="476">
        <v>0</v>
      </c>
      <c r="AA17" s="480" t="s">
        <v>995</v>
      </c>
      <c r="AB17" s="561">
        <f t="shared" si="1"/>
        <v>61</v>
      </c>
      <c r="AC17" s="561">
        <f t="shared" si="2"/>
        <v>42</v>
      </c>
      <c r="AD17" s="624" t="str">
        <f>IF(AB17="","",VLOOKUP(AB17,trancheage[],2,TRUE))</f>
        <v>50 ans et plus</v>
      </c>
      <c r="AE17" s="624" t="str">
        <f>IFERROR(VLOOKUP(AC17,trancheanciennete[],2,TRUE),"")</f>
        <v>9 : 40 et +</v>
      </c>
      <c r="AF17" s="625" t="str">
        <f>IF(T17&gt;0,VLOOKUP(T17,Trancheremuneration[],2,TRUE),"")</f>
        <v>2:14 000-17 000</v>
      </c>
      <c r="AG17" s="623">
        <f t="shared" si="3"/>
        <v>26525.421805872727</v>
      </c>
      <c r="AH17" s="631" t="str">
        <f t="shared" si="4"/>
        <v>catégorie 1</v>
      </c>
      <c r="AI17" s="631">
        <v>3</v>
      </c>
      <c r="AN17"/>
      <c r="AO17"/>
      <c r="AS17" s="1" t="s">
        <v>620</v>
      </c>
      <c r="BB17" s="1" t="s">
        <v>942</v>
      </c>
    </row>
    <row r="18" spans="1:54" ht="14">
      <c r="A18" t="s">
        <v>635</v>
      </c>
      <c r="B18" s="471" t="s">
        <v>27</v>
      </c>
      <c r="C18" s="651">
        <v>21972</v>
      </c>
      <c r="D18" s="652">
        <v>28864</v>
      </c>
      <c r="E18" s="473" t="s">
        <v>501</v>
      </c>
      <c r="F18" s="1029" t="s">
        <v>3</v>
      </c>
      <c r="G18" s="472" t="s">
        <v>399</v>
      </c>
      <c r="H18" s="472" t="s">
        <v>392</v>
      </c>
      <c r="I18" s="474" t="s">
        <v>22</v>
      </c>
      <c r="J18" s="474" t="s">
        <v>28</v>
      </c>
      <c r="K18" s="475" t="s">
        <v>43</v>
      </c>
      <c r="L18" s="861" t="str">
        <f t="shared" si="0"/>
        <v>salarié</v>
      </c>
      <c r="M18" s="485" t="s">
        <v>48</v>
      </c>
      <c r="N18" s="485" t="s">
        <v>1</v>
      </c>
      <c r="O18" s="486">
        <v>1</v>
      </c>
      <c r="P18" s="481" t="s">
        <v>59</v>
      </c>
      <c r="Q18" s="482" t="s">
        <v>30</v>
      </c>
      <c r="R18" s="478">
        <v>0</v>
      </c>
      <c r="S18" s="479">
        <v>7</v>
      </c>
      <c r="T18" s="1">
        <v>25000</v>
      </c>
      <c r="U18" s="656">
        <v>44066.416583509075</v>
      </c>
      <c r="V18" s="479">
        <v>250</v>
      </c>
      <c r="W18" s="483">
        <v>0</v>
      </c>
      <c r="X18" s="476">
        <v>0</v>
      </c>
      <c r="Y18" s="476">
        <v>0</v>
      </c>
      <c r="Z18" s="476">
        <v>0</v>
      </c>
      <c r="AA18" s="480" t="s">
        <v>995</v>
      </c>
      <c r="AB18" s="561">
        <f t="shared" si="1"/>
        <v>60</v>
      </c>
      <c r="AC18" s="561">
        <f t="shared" si="2"/>
        <v>41</v>
      </c>
      <c r="AD18" s="624" t="str">
        <f>IF(AB18="","",VLOOKUP(AB18,trancheage[],2,TRUE))</f>
        <v>50 ans et plus</v>
      </c>
      <c r="AE18" s="624" t="str">
        <f>IFERROR(VLOOKUP(AC18,trancheanciennete[],2,TRUE),"")</f>
        <v>9 : 40 et +</v>
      </c>
      <c r="AF18" s="625" t="str">
        <f>IF(T18&gt;0,VLOOKUP(T18,Trancheremuneration[],2,TRUE),"")</f>
        <v>5 : + de 23 000</v>
      </c>
      <c r="AG18" s="623">
        <f t="shared" si="3"/>
        <v>44316.416583509075</v>
      </c>
      <c r="AH18" s="631" t="str">
        <f t="shared" si="4"/>
        <v>catégorie 1</v>
      </c>
      <c r="AI18" s="631">
        <v>4</v>
      </c>
      <c r="AM18"/>
      <c r="AN18"/>
      <c r="AO18"/>
      <c r="BB18" s="1" t="s">
        <v>944</v>
      </c>
    </row>
    <row r="19" spans="1:54" ht="14">
      <c r="A19" t="s">
        <v>636</v>
      </c>
      <c r="B19" s="471" t="s">
        <v>27</v>
      </c>
      <c r="C19" s="651">
        <v>22896</v>
      </c>
      <c r="D19" s="652">
        <v>29763</v>
      </c>
      <c r="E19" s="473" t="s">
        <v>501</v>
      </c>
      <c r="F19" s="1029" t="s">
        <v>50</v>
      </c>
      <c r="G19" s="472" t="s">
        <v>397</v>
      </c>
      <c r="H19" s="472" t="s">
        <v>392</v>
      </c>
      <c r="I19" s="474" t="s">
        <v>22</v>
      </c>
      <c r="J19" s="474" t="s">
        <v>28</v>
      </c>
      <c r="K19" s="475" t="s">
        <v>43</v>
      </c>
      <c r="L19" s="861" t="str">
        <f t="shared" si="0"/>
        <v>salarié</v>
      </c>
      <c r="M19" s="485" t="s">
        <v>42</v>
      </c>
      <c r="N19" s="485" t="s">
        <v>1</v>
      </c>
      <c r="O19" s="486">
        <v>1</v>
      </c>
      <c r="P19" s="481" t="s">
        <v>58</v>
      </c>
      <c r="Q19" s="482" t="s">
        <v>30</v>
      </c>
      <c r="R19" s="478">
        <v>1</v>
      </c>
      <c r="S19" s="479">
        <v>7</v>
      </c>
      <c r="T19" s="1">
        <v>47920</v>
      </c>
      <c r="U19" s="656">
        <v>35335.765235019375</v>
      </c>
      <c r="V19" s="479">
        <v>100</v>
      </c>
      <c r="W19" s="483">
        <v>0</v>
      </c>
      <c r="X19" s="476">
        <v>0</v>
      </c>
      <c r="Y19" s="476">
        <v>1</v>
      </c>
      <c r="Z19" s="476">
        <v>0</v>
      </c>
      <c r="AA19" s="480" t="s">
        <v>995</v>
      </c>
      <c r="AB19" s="561">
        <f t="shared" si="1"/>
        <v>57</v>
      </c>
      <c r="AC19" s="561">
        <f t="shared" si="2"/>
        <v>39</v>
      </c>
      <c r="AD19" s="624" t="str">
        <f>IF(AB19="","",VLOOKUP(AB19,trancheage[],2,TRUE))</f>
        <v>50 ans et plus</v>
      </c>
      <c r="AE19" s="624" t="str">
        <f>IFERROR(VLOOKUP(AC19,trancheanciennete[],2,TRUE),"")</f>
        <v>9 : 40 et +</v>
      </c>
      <c r="AF19" s="625" t="str">
        <f>IF(T19&gt;0,VLOOKUP(T19,Trancheremuneration[],2,TRUE),"")</f>
        <v>5 : + de 23 000</v>
      </c>
      <c r="AG19" s="623">
        <f t="shared" si="3"/>
        <v>35435.765235019375</v>
      </c>
      <c r="AH19" s="631" t="str">
        <f t="shared" si="4"/>
        <v>catégorie 1</v>
      </c>
      <c r="AI19" s="1005"/>
      <c r="AM19" s="11"/>
      <c r="AN19"/>
      <c r="AO19"/>
      <c r="BB19" s="1" t="s">
        <v>941</v>
      </c>
    </row>
    <row r="20" spans="1:54" ht="14">
      <c r="A20" t="s">
        <v>637</v>
      </c>
      <c r="B20" s="471" t="s">
        <v>47</v>
      </c>
      <c r="C20" s="651">
        <v>21374</v>
      </c>
      <c r="D20" s="652">
        <v>29818</v>
      </c>
      <c r="E20" s="473" t="s">
        <v>501</v>
      </c>
      <c r="F20" s="1029" t="s">
        <v>49</v>
      </c>
      <c r="G20" s="472" t="s">
        <v>398</v>
      </c>
      <c r="H20" s="472" t="s">
        <v>392</v>
      </c>
      <c r="I20" s="474" t="s">
        <v>22</v>
      </c>
      <c r="J20" s="474" t="s">
        <v>28</v>
      </c>
      <c r="K20" s="475" t="s">
        <v>43</v>
      </c>
      <c r="L20" s="861" t="str">
        <f t="shared" si="0"/>
        <v>salarié</v>
      </c>
      <c r="M20" s="485" t="s">
        <v>48</v>
      </c>
      <c r="N20" s="485" t="s">
        <v>1</v>
      </c>
      <c r="O20" s="486">
        <v>1</v>
      </c>
      <c r="P20" s="481" t="s">
        <v>59</v>
      </c>
      <c r="Q20" s="482" t="s">
        <v>33</v>
      </c>
      <c r="R20" s="478">
        <v>1</v>
      </c>
      <c r="S20" s="479">
        <v>7</v>
      </c>
      <c r="T20" s="1">
        <v>35080</v>
      </c>
      <c r="U20" s="656">
        <v>35866.948722056019</v>
      </c>
      <c r="V20" s="479">
        <v>250</v>
      </c>
      <c r="W20" s="483">
        <v>1</v>
      </c>
      <c r="X20" s="476">
        <v>0</v>
      </c>
      <c r="Y20" s="476">
        <v>1</v>
      </c>
      <c r="Z20" s="476">
        <v>0</v>
      </c>
      <c r="AA20" s="480" t="s">
        <v>995</v>
      </c>
      <c r="AB20" s="561">
        <f t="shared" si="1"/>
        <v>62</v>
      </c>
      <c r="AC20" s="561">
        <f t="shared" si="2"/>
        <v>39</v>
      </c>
      <c r="AD20" s="624" t="str">
        <f>IF(AB20="","",VLOOKUP(AB20,trancheage[],2,TRUE))</f>
        <v>50 ans et plus</v>
      </c>
      <c r="AE20" s="624" t="str">
        <f>IFERROR(VLOOKUP(AC20,trancheanciennete[],2,TRUE),"")</f>
        <v>9 : 40 et +</v>
      </c>
      <c r="AF20" s="625" t="str">
        <f>IF(T20&gt;0,VLOOKUP(T20,Trancheremuneration[],2,TRUE),"")</f>
        <v>5 : + de 23 000</v>
      </c>
      <c r="AG20" s="623">
        <f t="shared" si="3"/>
        <v>36116.948722056019</v>
      </c>
      <c r="AH20" s="631" t="str">
        <f t="shared" si="4"/>
        <v>catégorie 1</v>
      </c>
      <c r="AI20" s="631"/>
      <c r="AM20"/>
      <c r="AN20"/>
      <c r="AO20"/>
      <c r="BB20" s="1" t="s">
        <v>945</v>
      </c>
    </row>
    <row r="21" spans="1:54" ht="14">
      <c r="A21" t="s">
        <v>577</v>
      </c>
      <c r="B21" s="471" t="s">
        <v>27</v>
      </c>
      <c r="C21" s="651">
        <v>21830</v>
      </c>
      <c r="D21" s="652">
        <v>29864</v>
      </c>
      <c r="E21" s="473" t="s">
        <v>502</v>
      </c>
      <c r="F21" s="1029" t="s">
        <v>3</v>
      </c>
      <c r="G21" s="472" t="s">
        <v>395</v>
      </c>
      <c r="H21" s="472" t="s">
        <v>392</v>
      </c>
      <c r="I21" s="474" t="s">
        <v>22</v>
      </c>
      <c r="J21" s="474" t="s">
        <v>28</v>
      </c>
      <c r="K21" s="475" t="s">
        <v>56</v>
      </c>
      <c r="L21" s="861" t="str">
        <f t="shared" si="0"/>
        <v>salarié</v>
      </c>
      <c r="M21" s="485" t="s">
        <v>48</v>
      </c>
      <c r="N21" s="485" t="s">
        <v>1</v>
      </c>
      <c r="O21" s="486">
        <v>1</v>
      </c>
      <c r="P21" s="481" t="s">
        <v>58</v>
      </c>
      <c r="Q21" s="482" t="s">
        <v>34</v>
      </c>
      <c r="R21" s="478">
        <v>1</v>
      </c>
      <c r="S21" s="479">
        <v>28</v>
      </c>
      <c r="T21" s="1">
        <v>32920</v>
      </c>
      <c r="U21" s="656">
        <v>18078.426723453955</v>
      </c>
      <c r="V21" s="479">
        <v>250</v>
      </c>
      <c r="W21" s="483">
        <v>1</v>
      </c>
      <c r="X21" s="476">
        <v>0</v>
      </c>
      <c r="Y21" s="476">
        <v>1</v>
      </c>
      <c r="Z21" s="476">
        <v>0</v>
      </c>
      <c r="AA21" s="480" t="s">
        <v>995</v>
      </c>
      <c r="AB21" s="561">
        <f t="shared" si="1"/>
        <v>60</v>
      </c>
      <c r="AC21" s="561">
        <f t="shared" si="2"/>
        <v>38</v>
      </c>
      <c r="AD21" s="624" t="str">
        <f>IF(AB21="","",VLOOKUP(AB21,trancheage[],2,TRUE))</f>
        <v>50 ans et plus</v>
      </c>
      <c r="AE21" s="624" t="str">
        <f>IFERROR(VLOOKUP(AC21,trancheanciennete[],2,TRUE),"")</f>
        <v>8 : 35-39</v>
      </c>
      <c r="AF21" s="625" t="str">
        <f>IF(T21&gt;0,VLOOKUP(T21,Trancheremuneration[],2,TRUE),"")</f>
        <v>5 : + de 23 000</v>
      </c>
      <c r="AG21" s="623">
        <f t="shared" si="3"/>
        <v>18328.426723453955</v>
      </c>
      <c r="AH21" s="631" t="str">
        <f t="shared" si="4"/>
        <v>catégorie 1</v>
      </c>
      <c r="AI21" s="631"/>
      <c r="AM21"/>
      <c r="AN21"/>
      <c r="AO21"/>
    </row>
    <row r="22" spans="1:54" ht="14">
      <c r="A22" t="s">
        <v>638</v>
      </c>
      <c r="B22" s="471" t="s">
        <v>27</v>
      </c>
      <c r="C22" s="651">
        <v>24081</v>
      </c>
      <c r="D22" s="652">
        <v>30055</v>
      </c>
      <c r="E22" s="473" t="s">
        <v>505</v>
      </c>
      <c r="F22" s="1029" t="s">
        <v>50</v>
      </c>
      <c r="G22" s="472" t="s">
        <v>395</v>
      </c>
      <c r="H22" s="472" t="s">
        <v>392</v>
      </c>
      <c r="I22" s="474" t="s">
        <v>22</v>
      </c>
      <c r="J22" s="474" t="s">
        <v>28</v>
      </c>
      <c r="K22" s="475" t="s">
        <v>35</v>
      </c>
      <c r="L22" s="861" t="str">
        <f t="shared" si="0"/>
        <v>salarié</v>
      </c>
      <c r="M22" s="485" t="s">
        <v>48</v>
      </c>
      <c r="N22" s="485" t="s">
        <v>1</v>
      </c>
      <c r="O22" s="486">
        <v>1</v>
      </c>
      <c r="P22" s="481" t="s">
        <v>58</v>
      </c>
      <c r="Q22" s="482" t="s">
        <v>33</v>
      </c>
      <c r="R22" s="478">
        <v>1</v>
      </c>
      <c r="S22" s="479">
        <v>14</v>
      </c>
      <c r="T22" s="1">
        <v>14320</v>
      </c>
      <c r="U22" s="656">
        <v>46671.203665014938</v>
      </c>
      <c r="V22" s="479">
        <v>250</v>
      </c>
      <c r="W22" s="483">
        <v>1</v>
      </c>
      <c r="X22" s="476">
        <v>0</v>
      </c>
      <c r="Y22" s="476">
        <v>0</v>
      </c>
      <c r="Z22" s="476">
        <v>0</v>
      </c>
      <c r="AA22" s="480" t="s">
        <v>995</v>
      </c>
      <c r="AB22" s="561">
        <f t="shared" si="1"/>
        <v>54</v>
      </c>
      <c r="AC22" s="561">
        <f t="shared" si="2"/>
        <v>38</v>
      </c>
      <c r="AD22" s="624" t="str">
        <f>IF(AB22="","",VLOOKUP(AB22,trancheage[],2,TRUE))</f>
        <v>50 ans et plus</v>
      </c>
      <c r="AE22" s="624" t="str">
        <f>IFERROR(VLOOKUP(AC22,trancheanciennete[],2,TRUE),"")</f>
        <v>8 : 35-39</v>
      </c>
      <c r="AF22" s="625" t="str">
        <f>IF(T22&gt;0,VLOOKUP(T22,Trancheremuneration[],2,TRUE),"")</f>
        <v>2:14 000-17 000</v>
      </c>
      <c r="AG22" s="623">
        <f t="shared" si="3"/>
        <v>46921.203665014938</v>
      </c>
      <c r="AH22" s="631" t="str">
        <f t="shared" si="4"/>
        <v>catégorie 1</v>
      </c>
      <c r="AI22" s="631"/>
      <c r="AM22"/>
      <c r="AN22"/>
      <c r="AO22"/>
    </row>
    <row r="23" spans="1:54" ht="14">
      <c r="A23" t="s">
        <v>639</v>
      </c>
      <c r="B23" s="471" t="s">
        <v>27</v>
      </c>
      <c r="C23" s="651">
        <v>22150</v>
      </c>
      <c r="D23" s="652">
        <v>30178</v>
      </c>
      <c r="E23" s="473" t="s">
        <v>501</v>
      </c>
      <c r="F23" s="1029" t="s">
        <v>49</v>
      </c>
      <c r="G23" s="472" t="s">
        <v>395</v>
      </c>
      <c r="H23" s="472" t="s">
        <v>392</v>
      </c>
      <c r="I23" s="474" t="s">
        <v>22</v>
      </c>
      <c r="J23" s="474" t="s">
        <v>28</v>
      </c>
      <c r="K23" s="475" t="s">
        <v>43</v>
      </c>
      <c r="L23" s="861" t="str">
        <f t="shared" si="0"/>
        <v>salarié</v>
      </c>
      <c r="M23" s="485" t="s">
        <v>48</v>
      </c>
      <c r="N23" s="485" t="s">
        <v>1</v>
      </c>
      <c r="O23" s="486">
        <v>1</v>
      </c>
      <c r="P23" s="481" t="s">
        <v>58</v>
      </c>
      <c r="Q23" s="482" t="s">
        <v>31</v>
      </c>
      <c r="R23" s="478">
        <v>0</v>
      </c>
      <c r="S23" s="479">
        <v>7</v>
      </c>
      <c r="T23" s="1">
        <v>46600</v>
      </c>
      <c r="U23" s="656">
        <v>61257.913039472201</v>
      </c>
      <c r="V23" s="479">
        <v>500</v>
      </c>
      <c r="W23" s="483">
        <v>0</v>
      </c>
      <c r="X23" s="476">
        <v>1</v>
      </c>
      <c r="Y23" s="476">
        <v>0</v>
      </c>
      <c r="Z23" s="476">
        <v>0</v>
      </c>
      <c r="AA23" s="480" t="s">
        <v>995</v>
      </c>
      <c r="AB23" s="561">
        <f t="shared" si="1"/>
        <v>60</v>
      </c>
      <c r="AC23" s="561">
        <f t="shared" si="2"/>
        <v>38</v>
      </c>
      <c r="AD23" s="624" t="str">
        <f>IF(AB23="","",VLOOKUP(AB23,trancheage[],2,TRUE))</f>
        <v>50 ans et plus</v>
      </c>
      <c r="AE23" s="624" t="str">
        <f>IFERROR(VLOOKUP(AC23,trancheanciennete[],2,TRUE),"")</f>
        <v>8 : 35-39</v>
      </c>
      <c r="AF23" s="625" t="str">
        <f>IF(T23&gt;0,VLOOKUP(T23,Trancheremuneration[],2,TRUE),"")</f>
        <v>5 : + de 23 000</v>
      </c>
      <c r="AG23" s="623">
        <f t="shared" si="3"/>
        <v>61757.913039472201</v>
      </c>
      <c r="AH23" s="631" t="str">
        <f t="shared" si="4"/>
        <v>catégorie 1</v>
      </c>
      <c r="AI23" s="631"/>
      <c r="AM23"/>
      <c r="AN23"/>
      <c r="AO23"/>
    </row>
    <row r="24" spans="1:54" ht="14">
      <c r="A24" t="s">
        <v>640</v>
      </c>
      <c r="B24" s="471" t="s">
        <v>27</v>
      </c>
      <c r="C24" s="651">
        <v>23557</v>
      </c>
      <c r="D24" s="652">
        <v>30580</v>
      </c>
      <c r="E24" s="473" t="s">
        <v>501</v>
      </c>
      <c r="F24" s="1029" t="s">
        <v>3</v>
      </c>
      <c r="G24" s="472" t="s">
        <v>399</v>
      </c>
      <c r="H24" s="472" t="s">
        <v>392</v>
      </c>
      <c r="I24" s="474" t="s">
        <v>22</v>
      </c>
      <c r="J24" s="474" t="s">
        <v>29</v>
      </c>
      <c r="K24" s="475" t="s">
        <v>43</v>
      </c>
      <c r="L24" s="861" t="str">
        <f t="shared" si="0"/>
        <v>salarié</v>
      </c>
      <c r="M24" s="485" t="s">
        <v>48</v>
      </c>
      <c r="N24" s="485" t="s">
        <v>1</v>
      </c>
      <c r="O24" s="486">
        <v>1</v>
      </c>
      <c r="P24" s="481" t="s">
        <v>58</v>
      </c>
      <c r="Q24" s="482" t="s">
        <v>31</v>
      </c>
      <c r="R24" s="478">
        <v>1</v>
      </c>
      <c r="S24" s="479">
        <v>0</v>
      </c>
      <c r="T24" s="1">
        <v>53800</v>
      </c>
      <c r="U24" s="656">
        <v>14966.646053739798</v>
      </c>
      <c r="V24" s="479">
        <v>250</v>
      </c>
      <c r="W24" s="483">
        <v>1</v>
      </c>
      <c r="X24" s="476">
        <v>1</v>
      </c>
      <c r="Y24" s="476">
        <v>0</v>
      </c>
      <c r="Z24" s="476">
        <v>0</v>
      </c>
      <c r="AA24" s="480" t="s">
        <v>995</v>
      </c>
      <c r="AB24" s="561">
        <f t="shared" si="1"/>
        <v>56</v>
      </c>
      <c r="AC24" s="561">
        <f t="shared" si="2"/>
        <v>36</v>
      </c>
      <c r="AD24" s="624" t="str">
        <f>IF(AB24="","",VLOOKUP(AB24,trancheage[],2,TRUE))</f>
        <v>50 ans et plus</v>
      </c>
      <c r="AE24" s="624" t="str">
        <f>IFERROR(VLOOKUP(AC24,trancheanciennete[],2,TRUE),"")</f>
        <v>8 : 35-39</v>
      </c>
      <c r="AF24" s="625" t="str">
        <f>IF(T24&gt;0,VLOOKUP(T24,Trancheremuneration[],2,TRUE),"")</f>
        <v>5 : + de 23 000</v>
      </c>
      <c r="AG24" s="623">
        <f t="shared" si="3"/>
        <v>15216.646053739798</v>
      </c>
      <c r="AH24" s="631" t="str">
        <f t="shared" si="4"/>
        <v>catégorie 1</v>
      </c>
      <c r="AI24" s="631"/>
      <c r="AN24"/>
      <c r="AO24"/>
    </row>
    <row r="25" spans="1:54" ht="14">
      <c r="A25" t="s">
        <v>607</v>
      </c>
      <c r="B25" s="471" t="s">
        <v>47</v>
      </c>
      <c r="C25" s="651">
        <v>22224</v>
      </c>
      <c r="D25" s="652">
        <v>30702</v>
      </c>
      <c r="E25" s="473" t="s">
        <v>505</v>
      </c>
      <c r="F25" s="1029" t="s">
        <v>50</v>
      </c>
      <c r="G25" s="472" t="s">
        <v>396</v>
      </c>
      <c r="H25" s="472" t="s">
        <v>392</v>
      </c>
      <c r="I25" s="474" t="s">
        <v>38</v>
      </c>
      <c r="J25" s="474" t="s">
        <v>52</v>
      </c>
      <c r="K25" s="475" t="s">
        <v>37</v>
      </c>
      <c r="L25" s="861" t="str">
        <f t="shared" si="0"/>
        <v>salarié</v>
      </c>
      <c r="M25" s="485" t="s">
        <v>48</v>
      </c>
      <c r="N25" s="485" t="s">
        <v>1</v>
      </c>
      <c r="O25" s="486">
        <v>1</v>
      </c>
      <c r="P25" s="481" t="s">
        <v>58</v>
      </c>
      <c r="Q25" s="482" t="s">
        <v>39</v>
      </c>
      <c r="R25" s="478">
        <v>1</v>
      </c>
      <c r="S25" s="479">
        <v>0</v>
      </c>
      <c r="T25" s="1">
        <v>12400</v>
      </c>
      <c r="U25" s="656">
        <v>60375.927003436787</v>
      </c>
      <c r="V25" s="479">
        <v>250</v>
      </c>
      <c r="W25" s="483">
        <v>1</v>
      </c>
      <c r="X25" s="476">
        <v>0</v>
      </c>
      <c r="Y25" s="476">
        <v>0</v>
      </c>
      <c r="Z25" s="476">
        <v>0</v>
      </c>
      <c r="AA25" s="480" t="s">
        <v>995</v>
      </c>
      <c r="AB25" s="561">
        <f t="shared" si="1"/>
        <v>59</v>
      </c>
      <c r="AC25" s="561">
        <f t="shared" si="2"/>
        <v>36</v>
      </c>
      <c r="AD25" s="624" t="str">
        <f>IF(AB25="","",VLOOKUP(AB25,trancheage[],2,TRUE))</f>
        <v>50 ans et plus</v>
      </c>
      <c r="AE25" s="624" t="str">
        <f>IFERROR(VLOOKUP(AC25,trancheanciennete[],2,TRUE),"")</f>
        <v>8 : 35-39</v>
      </c>
      <c r="AF25" s="625" t="str">
        <f>IF(T25&gt;0,VLOOKUP(T25,Trancheremuneration[],2,TRUE),"")</f>
        <v>1:7 000-14 000</v>
      </c>
      <c r="AG25" s="623">
        <f t="shared" si="3"/>
        <v>60625.927003436787</v>
      </c>
      <c r="AH25" s="631" t="str">
        <f t="shared" si="4"/>
        <v>catégorie 1</v>
      </c>
      <c r="AI25" s="631"/>
      <c r="AN25"/>
      <c r="AO25"/>
    </row>
    <row r="26" spans="1:54" ht="14">
      <c r="A26" t="s">
        <v>641</v>
      </c>
      <c r="B26" s="471" t="s">
        <v>27</v>
      </c>
      <c r="C26" s="651">
        <v>24003</v>
      </c>
      <c r="D26" s="652">
        <v>30756</v>
      </c>
      <c r="E26" s="473" t="s">
        <v>501</v>
      </c>
      <c r="F26" s="1029" t="s">
        <v>49</v>
      </c>
      <c r="G26" s="472" t="s">
        <v>397</v>
      </c>
      <c r="H26" s="472" t="s">
        <v>392</v>
      </c>
      <c r="I26" s="474" t="s">
        <v>22</v>
      </c>
      <c r="J26" s="474" t="s">
        <v>29</v>
      </c>
      <c r="K26" s="475" t="s">
        <v>43</v>
      </c>
      <c r="L26" s="861" t="str">
        <f t="shared" si="0"/>
        <v>salarié</v>
      </c>
      <c r="M26" s="485" t="s">
        <v>48</v>
      </c>
      <c r="N26" s="485" t="s">
        <v>0</v>
      </c>
      <c r="O26" s="486">
        <v>0.8</v>
      </c>
      <c r="P26" s="481" t="s">
        <v>59</v>
      </c>
      <c r="Q26" s="482" t="s">
        <v>30</v>
      </c>
      <c r="R26" s="478">
        <v>0</v>
      </c>
      <c r="S26" s="479">
        <v>0</v>
      </c>
      <c r="T26" s="1">
        <v>63400</v>
      </c>
      <c r="U26" s="656">
        <v>31074.922590084563</v>
      </c>
      <c r="V26" s="479">
        <v>250</v>
      </c>
      <c r="W26" s="483">
        <v>0</v>
      </c>
      <c r="X26" s="476">
        <v>0</v>
      </c>
      <c r="Y26" s="476">
        <v>0</v>
      </c>
      <c r="Z26" s="476">
        <v>0</v>
      </c>
      <c r="AA26" s="480" t="s">
        <v>995</v>
      </c>
      <c r="AB26" s="561">
        <f t="shared" si="1"/>
        <v>54</v>
      </c>
      <c r="AC26" s="561">
        <f t="shared" si="2"/>
        <v>36</v>
      </c>
      <c r="AD26" s="624" t="str">
        <f>IF(AB26="","",VLOOKUP(AB26,trancheage[],2,TRUE))</f>
        <v>50 ans et plus</v>
      </c>
      <c r="AE26" s="624" t="str">
        <f>IFERROR(VLOOKUP(AC26,trancheanciennete[],2,TRUE),"")</f>
        <v>8 : 35-39</v>
      </c>
      <c r="AF26" s="625" t="str">
        <f>IF(T26&gt;0,VLOOKUP(T26,Trancheremuneration[],2,TRUE),"")</f>
        <v>5 : + de 23 000</v>
      </c>
      <c r="AG26" s="623">
        <f t="shared" si="3"/>
        <v>37539.907108101477</v>
      </c>
      <c r="AH26" s="631" t="str">
        <f t="shared" si="4"/>
        <v>catégorie 1</v>
      </c>
      <c r="AI26" s="631"/>
      <c r="AN26"/>
      <c r="AO26"/>
    </row>
    <row r="27" spans="1:54" ht="14">
      <c r="A27" t="s">
        <v>642</v>
      </c>
      <c r="B27" s="471" t="s">
        <v>27</v>
      </c>
      <c r="C27" s="651">
        <v>22295</v>
      </c>
      <c r="D27" s="652">
        <v>30791</v>
      </c>
      <c r="E27" s="473" t="s">
        <v>501</v>
      </c>
      <c r="F27" s="1029" t="s">
        <v>3</v>
      </c>
      <c r="G27" s="472" t="s">
        <v>398</v>
      </c>
      <c r="H27" s="472" t="s">
        <v>392</v>
      </c>
      <c r="I27" s="474" t="s">
        <v>22</v>
      </c>
      <c r="J27" s="474" t="s">
        <v>29</v>
      </c>
      <c r="K27" s="475" t="s">
        <v>43</v>
      </c>
      <c r="L27" s="861" t="str">
        <f t="shared" si="0"/>
        <v>salarié</v>
      </c>
      <c r="M27" s="485" t="s">
        <v>48</v>
      </c>
      <c r="N27" s="485" t="s">
        <v>0</v>
      </c>
      <c r="O27" s="486">
        <v>0.8</v>
      </c>
      <c r="P27" s="481" t="s">
        <v>59</v>
      </c>
      <c r="Q27" s="482" t="s">
        <v>30</v>
      </c>
      <c r="R27" s="478">
        <v>0</v>
      </c>
      <c r="S27" s="479">
        <v>0</v>
      </c>
      <c r="T27" s="1">
        <v>37240</v>
      </c>
      <c r="U27" s="656">
        <v>30421.485326617185</v>
      </c>
      <c r="V27" s="479">
        <v>500</v>
      </c>
      <c r="W27" s="483">
        <v>0</v>
      </c>
      <c r="X27" s="476">
        <v>1</v>
      </c>
      <c r="Y27" s="476">
        <v>0</v>
      </c>
      <c r="Z27" s="476">
        <v>0</v>
      </c>
      <c r="AA27" s="480" t="s">
        <v>995</v>
      </c>
      <c r="AB27" s="561">
        <f t="shared" si="1"/>
        <v>59</v>
      </c>
      <c r="AC27" s="561">
        <f t="shared" si="2"/>
        <v>36</v>
      </c>
      <c r="AD27" s="624" t="str">
        <f>IF(AB27="","",VLOOKUP(AB27,trancheage[],2,TRUE))</f>
        <v>50 ans et plus</v>
      </c>
      <c r="AE27" s="624" t="str">
        <f>IFERROR(VLOOKUP(AC27,trancheanciennete[],2,TRUE),"")</f>
        <v>8 : 35-39</v>
      </c>
      <c r="AF27" s="625" t="str">
        <f>IF(T27&gt;0,VLOOKUP(T27,Trancheremuneration[],2,TRUE),"")</f>
        <v>5 : + de 23 000</v>
      </c>
      <c r="AG27" s="623">
        <f t="shared" si="3"/>
        <v>37005.782391940622</v>
      </c>
      <c r="AH27" s="631" t="str">
        <f t="shared" si="4"/>
        <v>catégorie 1</v>
      </c>
      <c r="AI27" s="631"/>
      <c r="AN27"/>
      <c r="AO27"/>
    </row>
    <row r="28" spans="1:54" ht="14">
      <c r="A28" t="s">
        <v>643</v>
      </c>
      <c r="B28" s="471" t="s">
        <v>47</v>
      </c>
      <c r="C28" s="651">
        <v>22725</v>
      </c>
      <c r="D28" s="652">
        <v>30859</v>
      </c>
      <c r="E28" s="473" t="s">
        <v>505</v>
      </c>
      <c r="F28" s="1029" t="s">
        <v>50</v>
      </c>
      <c r="G28" s="472" t="s">
        <v>399</v>
      </c>
      <c r="H28" s="472" t="s">
        <v>392</v>
      </c>
      <c r="I28" s="474" t="s">
        <v>23</v>
      </c>
      <c r="J28" s="474" t="s">
        <v>18</v>
      </c>
      <c r="K28" s="475" t="s">
        <v>302</v>
      </c>
      <c r="L28" s="861" t="str">
        <f t="shared" si="0"/>
        <v>salarié</v>
      </c>
      <c r="M28" s="485" t="s">
        <v>48</v>
      </c>
      <c r="N28" s="485" t="s">
        <v>1</v>
      </c>
      <c r="O28" s="486">
        <v>1</v>
      </c>
      <c r="P28" s="481" t="s">
        <v>59</v>
      </c>
      <c r="Q28" s="482" t="s">
        <v>33</v>
      </c>
      <c r="R28" s="478">
        <v>1</v>
      </c>
      <c r="S28" s="479">
        <v>14</v>
      </c>
      <c r="T28" s="1">
        <v>31840</v>
      </c>
      <c r="U28" s="656">
        <v>12623.752744412501</v>
      </c>
      <c r="V28" s="479">
        <v>250</v>
      </c>
      <c r="W28" s="483">
        <v>1</v>
      </c>
      <c r="X28" s="476">
        <v>0</v>
      </c>
      <c r="Y28" s="476">
        <v>1</v>
      </c>
      <c r="Z28" s="476">
        <v>0</v>
      </c>
      <c r="AA28" s="480" t="s">
        <v>995</v>
      </c>
      <c r="AB28" s="561">
        <f t="shared" si="1"/>
        <v>58</v>
      </c>
      <c r="AC28" s="561">
        <f t="shared" si="2"/>
        <v>36</v>
      </c>
      <c r="AD28" s="624" t="str">
        <f>IF(AB28="","",VLOOKUP(AB28,trancheage[],2,TRUE))</f>
        <v>50 ans et plus</v>
      </c>
      <c r="AE28" s="624" t="str">
        <f>IFERROR(VLOOKUP(AC28,trancheanciennete[],2,TRUE),"")</f>
        <v>8 : 35-39</v>
      </c>
      <c r="AF28" s="625" t="str">
        <f>IF(T28&gt;0,VLOOKUP(T28,Trancheremuneration[],2,TRUE),"")</f>
        <v>5 : + de 23 000</v>
      </c>
      <c r="AG28" s="623">
        <f t="shared" si="3"/>
        <v>12873.752744412501</v>
      </c>
      <c r="AH28" s="631" t="str">
        <f t="shared" si="4"/>
        <v>catégorie 1</v>
      </c>
      <c r="AI28" s="631"/>
      <c r="AN28"/>
      <c r="AO28"/>
    </row>
    <row r="29" spans="1:54" ht="14" customHeight="1">
      <c r="A29" t="s">
        <v>644</v>
      </c>
      <c r="B29" s="471" t="s">
        <v>27</v>
      </c>
      <c r="C29" s="651">
        <v>23799</v>
      </c>
      <c r="D29" s="652">
        <v>30972</v>
      </c>
      <c r="E29" s="473" t="s">
        <v>505</v>
      </c>
      <c r="F29" s="1029" t="s">
        <v>51</v>
      </c>
      <c r="G29" s="472" t="s">
        <v>395</v>
      </c>
      <c r="H29" s="472" t="s">
        <v>392</v>
      </c>
      <c r="I29" s="474" t="s">
        <v>22</v>
      </c>
      <c r="J29" s="474" t="s">
        <v>29</v>
      </c>
      <c r="K29" s="475" t="s">
        <v>35</v>
      </c>
      <c r="L29" s="861" t="str">
        <f t="shared" si="0"/>
        <v>salarié</v>
      </c>
      <c r="M29" s="485" t="s">
        <v>48</v>
      </c>
      <c r="N29" s="485" t="s">
        <v>1</v>
      </c>
      <c r="O29" s="486">
        <v>1</v>
      </c>
      <c r="P29" s="481" t="s">
        <v>59</v>
      </c>
      <c r="Q29" s="482" t="s">
        <v>33</v>
      </c>
      <c r="R29" s="478">
        <v>1</v>
      </c>
      <c r="S29" s="479">
        <v>14</v>
      </c>
      <c r="T29" s="1">
        <v>10720</v>
      </c>
      <c r="U29" s="656">
        <v>31945.148853956838</v>
      </c>
      <c r="V29" s="479">
        <v>250</v>
      </c>
      <c r="W29" s="483">
        <v>1</v>
      </c>
      <c r="X29" s="476">
        <v>0</v>
      </c>
      <c r="Y29" s="476">
        <v>0</v>
      </c>
      <c r="Z29" s="476">
        <v>0</v>
      </c>
      <c r="AA29" s="480" t="s">
        <v>995</v>
      </c>
      <c r="AB29" s="561">
        <f t="shared" si="1"/>
        <v>55</v>
      </c>
      <c r="AC29" s="561">
        <f t="shared" si="2"/>
        <v>35</v>
      </c>
      <c r="AD29" s="624" t="str">
        <f>IF(AB29="","",VLOOKUP(AB29,trancheage[],2,TRUE))</f>
        <v>50 ans et plus</v>
      </c>
      <c r="AE29" s="624" t="str">
        <f>IFERROR(VLOOKUP(AC29,trancheanciennete[],2,TRUE),"")</f>
        <v>8 : 35-39</v>
      </c>
      <c r="AF29" s="625" t="str">
        <f>IF(T29&gt;0,VLOOKUP(T29,Trancheremuneration[],2,TRUE),"")</f>
        <v>1:7 000-14 000</v>
      </c>
      <c r="AG29" s="623">
        <f t="shared" si="3"/>
        <v>32195.148853956838</v>
      </c>
      <c r="AH29" s="631" t="str">
        <f t="shared" si="4"/>
        <v>catégorie 1</v>
      </c>
      <c r="AI29" s="631"/>
      <c r="AN29"/>
      <c r="AO29"/>
    </row>
    <row r="30" spans="1:54" ht="14">
      <c r="A30" t="s">
        <v>557</v>
      </c>
      <c r="B30" s="471" t="s">
        <v>27</v>
      </c>
      <c r="C30" s="651">
        <v>22490</v>
      </c>
      <c r="D30" s="652">
        <v>31249</v>
      </c>
      <c r="E30" s="473" t="s">
        <v>501</v>
      </c>
      <c r="F30" s="1029" t="s">
        <v>3</v>
      </c>
      <c r="G30" s="472" t="s">
        <v>395</v>
      </c>
      <c r="H30" s="472" t="s">
        <v>393</v>
      </c>
      <c r="I30" s="474" t="s">
        <v>22</v>
      </c>
      <c r="J30" s="474" t="s">
        <v>29</v>
      </c>
      <c r="K30" s="475" t="s">
        <v>43</v>
      </c>
      <c r="L30" s="861" t="str">
        <f t="shared" si="0"/>
        <v>salarié</v>
      </c>
      <c r="M30" s="485" t="s">
        <v>48</v>
      </c>
      <c r="N30" s="485" t="s">
        <v>0</v>
      </c>
      <c r="O30" s="486">
        <v>0.5</v>
      </c>
      <c r="P30" s="481" t="s">
        <v>59</v>
      </c>
      <c r="Q30" s="482" t="s">
        <v>31</v>
      </c>
      <c r="R30" s="478">
        <v>0</v>
      </c>
      <c r="S30" s="479">
        <v>0</v>
      </c>
      <c r="T30" s="1">
        <v>26800</v>
      </c>
      <c r="U30" s="656">
        <v>16119.789856479762</v>
      </c>
      <c r="V30" s="479">
        <v>250</v>
      </c>
      <c r="W30" s="483">
        <v>0</v>
      </c>
      <c r="X30" s="476">
        <v>1</v>
      </c>
      <c r="Y30" s="476">
        <v>0</v>
      </c>
      <c r="Z30" s="476">
        <v>0</v>
      </c>
      <c r="AA30" s="480" t="s">
        <v>995</v>
      </c>
      <c r="AB30" s="561">
        <f t="shared" si="1"/>
        <v>59</v>
      </c>
      <c r="AC30" s="561">
        <f t="shared" si="2"/>
        <v>35</v>
      </c>
      <c r="AD30" s="624" t="str">
        <f>IF(AB30="","",VLOOKUP(AB30,trancheage[],2,TRUE))</f>
        <v>50 ans et plus</v>
      </c>
      <c r="AE30" s="624" t="str">
        <f>IFERROR(VLOOKUP(AC30,trancheanciennete[],2,TRUE),"")</f>
        <v>8 : 35-39</v>
      </c>
      <c r="AF30" s="625" t="str">
        <f>IF(T30&gt;0,VLOOKUP(T30,Trancheremuneration[],2,TRUE),"")</f>
        <v>5 : + de 23 000</v>
      </c>
      <c r="AG30" s="623">
        <f t="shared" si="3"/>
        <v>24429.68478471964</v>
      </c>
      <c r="AH30" s="631" t="str">
        <f t="shared" si="4"/>
        <v>catégorie 2</v>
      </c>
      <c r="AI30" s="631"/>
      <c r="AN30"/>
      <c r="AO30"/>
    </row>
    <row r="31" spans="1:54" ht="14">
      <c r="A31" t="s">
        <v>558</v>
      </c>
      <c r="B31" s="471" t="s">
        <v>27</v>
      </c>
      <c r="C31" s="651">
        <v>24241</v>
      </c>
      <c r="D31" s="652">
        <v>31267</v>
      </c>
      <c r="E31" s="473" t="s">
        <v>501</v>
      </c>
      <c r="F31" s="1029" t="s">
        <v>3</v>
      </c>
      <c r="G31" s="472" t="s">
        <v>395</v>
      </c>
      <c r="H31" s="472" t="s">
        <v>392</v>
      </c>
      <c r="I31" s="474" t="s">
        <v>22</v>
      </c>
      <c r="J31" s="474" t="s">
        <v>29</v>
      </c>
      <c r="K31" s="475" t="s">
        <v>43</v>
      </c>
      <c r="L31" s="861" t="str">
        <f t="shared" si="0"/>
        <v>salarié</v>
      </c>
      <c r="M31" s="485" t="s">
        <v>42</v>
      </c>
      <c r="N31" s="485" t="s">
        <v>0</v>
      </c>
      <c r="O31" s="486">
        <v>0.8</v>
      </c>
      <c r="P31" s="481" t="s">
        <v>59</v>
      </c>
      <c r="Q31" s="482" t="s">
        <v>31</v>
      </c>
      <c r="R31" s="478">
        <v>0</v>
      </c>
      <c r="S31" s="479">
        <v>0</v>
      </c>
      <c r="T31" s="1">
        <v>16000</v>
      </c>
      <c r="U31" s="656">
        <v>46799.381113835698</v>
      </c>
      <c r="V31" s="479">
        <v>250</v>
      </c>
      <c r="W31" s="483">
        <v>0</v>
      </c>
      <c r="X31" s="476">
        <v>1</v>
      </c>
      <c r="Y31" s="476">
        <v>0</v>
      </c>
      <c r="Z31" s="476">
        <v>0</v>
      </c>
      <c r="AA31" s="480" t="s">
        <v>995</v>
      </c>
      <c r="AB31" s="561">
        <f t="shared" si="1"/>
        <v>54</v>
      </c>
      <c r="AC31" s="561">
        <f t="shared" si="2"/>
        <v>35</v>
      </c>
      <c r="AD31" s="624" t="str">
        <f>IF(AB31="","",VLOOKUP(AB31,trancheage[],2,TRUE))</f>
        <v>50 ans et plus</v>
      </c>
      <c r="AE31" s="624" t="str">
        <f>IFERROR(VLOOKUP(AC31,trancheanciennete[],2,TRUE),"")</f>
        <v>8 : 35-39</v>
      </c>
      <c r="AF31" s="625" t="str">
        <f>IF(T31&gt;0,VLOOKUP(T31,Trancheremuneration[],2,TRUE),"")</f>
        <v>2:14 000-17 000</v>
      </c>
      <c r="AG31" s="623">
        <f t="shared" si="3"/>
        <v>56409.257336602837</v>
      </c>
      <c r="AH31" s="631" t="str">
        <f t="shared" si="4"/>
        <v>catégorie 1</v>
      </c>
      <c r="AI31" s="631"/>
      <c r="AM31"/>
      <c r="AN31"/>
      <c r="AO31"/>
    </row>
    <row r="32" spans="1:54" ht="14">
      <c r="A32" t="s">
        <v>645</v>
      </c>
      <c r="B32" s="471" t="s">
        <v>27</v>
      </c>
      <c r="C32" s="651">
        <v>24648</v>
      </c>
      <c r="D32" s="652">
        <v>31445</v>
      </c>
      <c r="E32" s="473" t="s">
        <v>504</v>
      </c>
      <c r="F32" s="1029" t="s">
        <v>50</v>
      </c>
      <c r="G32" s="472" t="s">
        <v>396</v>
      </c>
      <c r="H32" s="472" t="s">
        <v>392</v>
      </c>
      <c r="I32" s="474" t="s">
        <v>23</v>
      </c>
      <c r="J32" s="474" t="s">
        <v>18</v>
      </c>
      <c r="K32" s="475" t="s">
        <v>36</v>
      </c>
      <c r="L32" s="861" t="str">
        <f t="shared" si="0"/>
        <v>salarié</v>
      </c>
      <c r="M32" s="485" t="s">
        <v>48</v>
      </c>
      <c r="N32" s="485" t="s">
        <v>0</v>
      </c>
      <c r="O32" s="486">
        <v>0.8</v>
      </c>
      <c r="P32" s="481" t="s">
        <v>59</v>
      </c>
      <c r="Q32" s="482" t="s">
        <v>33</v>
      </c>
      <c r="R32" s="478">
        <v>1</v>
      </c>
      <c r="S32" s="479">
        <v>21</v>
      </c>
      <c r="T32" s="1">
        <v>47200</v>
      </c>
      <c r="U32" s="656">
        <v>46969.329868438814</v>
      </c>
      <c r="V32" s="479">
        <v>250</v>
      </c>
      <c r="W32" s="483">
        <v>1</v>
      </c>
      <c r="X32" s="476">
        <v>0</v>
      </c>
      <c r="Y32" s="476">
        <v>0</v>
      </c>
      <c r="Z32" s="476">
        <v>0</v>
      </c>
      <c r="AA32" s="480" t="s">
        <v>995</v>
      </c>
      <c r="AB32" s="561">
        <f t="shared" si="1"/>
        <v>53</v>
      </c>
      <c r="AC32" s="561">
        <f t="shared" si="2"/>
        <v>34</v>
      </c>
      <c r="AD32" s="624" t="str">
        <f>IF(AB32="","",VLOOKUP(AB32,trancheage[],2,TRUE))</f>
        <v>50 ans et plus</v>
      </c>
      <c r="AE32" s="624" t="str">
        <f>IFERROR(VLOOKUP(AC32,trancheanciennete[],2,TRUE),"")</f>
        <v>8 : 35-39</v>
      </c>
      <c r="AF32" s="625" t="str">
        <f>IF(T32&gt;0,VLOOKUP(T32,Trancheremuneration[],2,TRUE),"")</f>
        <v>5 : + de 23 000</v>
      </c>
      <c r="AG32" s="623">
        <f t="shared" si="3"/>
        <v>56613.195842126574</v>
      </c>
      <c r="AH32" s="631" t="str">
        <f t="shared" si="4"/>
        <v>catégorie 1</v>
      </c>
      <c r="AI32" s="631"/>
      <c r="AM32"/>
      <c r="AN32"/>
      <c r="AO32"/>
    </row>
    <row r="33" spans="1:41" ht="14">
      <c r="A33" t="s">
        <v>646</v>
      </c>
      <c r="B33" s="471" t="s">
        <v>27</v>
      </c>
      <c r="C33" s="651">
        <v>23966</v>
      </c>
      <c r="D33" s="652">
        <v>31549</v>
      </c>
      <c r="E33" s="473" t="s">
        <v>501</v>
      </c>
      <c r="F33" s="1029" t="s">
        <v>3</v>
      </c>
      <c r="G33" s="472" t="s">
        <v>397</v>
      </c>
      <c r="H33" s="472" t="s">
        <v>392</v>
      </c>
      <c r="I33" s="474" t="s">
        <v>22</v>
      </c>
      <c r="J33" s="474" t="s">
        <v>29</v>
      </c>
      <c r="K33" s="475" t="s">
        <v>43</v>
      </c>
      <c r="L33" s="861" t="str">
        <f t="shared" si="0"/>
        <v>salarié</v>
      </c>
      <c r="M33" s="485" t="s">
        <v>40</v>
      </c>
      <c r="N33" s="485" t="s">
        <v>0</v>
      </c>
      <c r="O33" s="486">
        <v>0.8</v>
      </c>
      <c r="P33" s="481" t="s">
        <v>59</v>
      </c>
      <c r="Q33" s="482" t="s">
        <v>32</v>
      </c>
      <c r="R33" s="478">
        <v>0</v>
      </c>
      <c r="S33" s="479">
        <v>0</v>
      </c>
      <c r="T33" s="1">
        <v>40000</v>
      </c>
      <c r="U33" s="656">
        <v>30976.765468004931</v>
      </c>
      <c r="V33" s="479">
        <v>250</v>
      </c>
      <c r="W33" s="483">
        <v>0</v>
      </c>
      <c r="X33" s="476">
        <v>1</v>
      </c>
      <c r="Y33" s="476">
        <v>0</v>
      </c>
      <c r="Z33" s="476">
        <v>0</v>
      </c>
      <c r="AA33" s="480" t="s">
        <v>995</v>
      </c>
      <c r="AB33" s="561">
        <f t="shared" si="1"/>
        <v>55</v>
      </c>
      <c r="AC33" s="561">
        <f t="shared" si="2"/>
        <v>34</v>
      </c>
      <c r="AD33" s="624" t="str">
        <f>IF(AB33="","",VLOOKUP(AB33,trancheage[],2,TRUE))</f>
        <v>50 ans et plus</v>
      </c>
      <c r="AE33" s="624" t="str">
        <f>IFERROR(VLOOKUP(AC33,trancheanciennete[],2,TRUE),"")</f>
        <v>8 : 35-39</v>
      </c>
      <c r="AF33" s="625" t="str">
        <f>IF(T33&gt;0,VLOOKUP(T33,Trancheremuneration[],2,TRUE),"")</f>
        <v>5 : + de 23 000</v>
      </c>
      <c r="AG33" s="623">
        <f t="shared" si="3"/>
        <v>37422.118561605916</v>
      </c>
      <c r="AH33" s="631" t="str">
        <f t="shared" si="4"/>
        <v>catégorie 1</v>
      </c>
      <c r="AI33" s="631"/>
      <c r="AM33"/>
      <c r="AN33"/>
      <c r="AO33"/>
    </row>
    <row r="34" spans="1:41" ht="14">
      <c r="A34" t="s">
        <v>647</v>
      </c>
      <c r="B34" s="471" t="s">
        <v>27</v>
      </c>
      <c r="C34" s="651">
        <v>21983</v>
      </c>
      <c r="D34" s="652">
        <v>31701</v>
      </c>
      <c r="E34" s="473" t="s">
        <v>501</v>
      </c>
      <c r="F34" s="1029" t="s">
        <v>3</v>
      </c>
      <c r="G34" s="472" t="s">
        <v>398</v>
      </c>
      <c r="H34" s="472" t="s">
        <v>392</v>
      </c>
      <c r="I34" s="474" t="s">
        <v>22</v>
      </c>
      <c r="J34" s="474" t="s">
        <v>28</v>
      </c>
      <c r="K34" s="475" t="s">
        <v>43</v>
      </c>
      <c r="L34" s="861" t="str">
        <f t="shared" si="0"/>
        <v>salarié</v>
      </c>
      <c r="M34" s="483" t="s">
        <v>48</v>
      </c>
      <c r="N34" s="483" t="s">
        <v>0</v>
      </c>
      <c r="O34" s="484">
        <v>0.8</v>
      </c>
      <c r="P34" s="476" t="s">
        <v>58</v>
      </c>
      <c r="Q34" s="477" t="s">
        <v>34</v>
      </c>
      <c r="R34" s="478">
        <v>1</v>
      </c>
      <c r="S34" s="479">
        <v>7</v>
      </c>
      <c r="T34" s="1">
        <v>36880</v>
      </c>
      <c r="U34" s="656">
        <v>52605.998578252838</v>
      </c>
      <c r="V34" s="479">
        <v>250</v>
      </c>
      <c r="W34" s="483">
        <v>1</v>
      </c>
      <c r="X34" s="476">
        <v>0</v>
      </c>
      <c r="Y34" s="476">
        <v>1</v>
      </c>
      <c r="Z34" s="476">
        <v>0</v>
      </c>
      <c r="AA34" s="480" t="s">
        <v>995</v>
      </c>
      <c r="AB34" s="561">
        <f t="shared" si="1"/>
        <v>60</v>
      </c>
      <c r="AC34" s="561">
        <f t="shared" si="2"/>
        <v>33</v>
      </c>
      <c r="AD34" s="624" t="str">
        <f>IF(AB34="","",VLOOKUP(AB34,trancheage[],2,TRUE))</f>
        <v>50 ans et plus</v>
      </c>
      <c r="AE34" s="624" t="str">
        <f>IFERROR(VLOOKUP(AC34,trancheanciennete[],2,TRUE),"")</f>
        <v>7 : 30-34</v>
      </c>
      <c r="AF34" s="625" t="str">
        <f>IF(T34&gt;0,VLOOKUP(T34,Trancheremuneration[],2,TRUE),"")</f>
        <v>5 : + de 23 000</v>
      </c>
      <c r="AG34" s="623">
        <f t="shared" si="3"/>
        <v>63377.198293903406</v>
      </c>
      <c r="AH34" s="631" t="str">
        <f t="shared" si="4"/>
        <v>catégorie 1</v>
      </c>
      <c r="AI34" s="631"/>
      <c r="AM34"/>
      <c r="AN34"/>
      <c r="AO34"/>
    </row>
    <row r="35" spans="1:41" ht="14">
      <c r="A35" t="s">
        <v>648</v>
      </c>
      <c r="B35" s="471" t="s">
        <v>27</v>
      </c>
      <c r="C35" s="651">
        <v>25219</v>
      </c>
      <c r="D35" s="652">
        <v>31734</v>
      </c>
      <c r="E35" s="473" t="s">
        <v>501</v>
      </c>
      <c r="F35" s="1029" t="s">
        <v>3</v>
      </c>
      <c r="G35" s="472" t="s">
        <v>399</v>
      </c>
      <c r="H35" s="472" t="s">
        <v>393</v>
      </c>
      <c r="I35" s="474" t="s">
        <v>22</v>
      </c>
      <c r="J35" s="474" t="s">
        <v>28</v>
      </c>
      <c r="K35" s="475" t="s">
        <v>43</v>
      </c>
      <c r="L35" s="861" t="str">
        <f t="shared" si="0"/>
        <v>salarié</v>
      </c>
      <c r="M35" s="483" t="s">
        <v>48</v>
      </c>
      <c r="N35" s="483" t="s">
        <v>0</v>
      </c>
      <c r="O35" s="484">
        <v>0.5</v>
      </c>
      <c r="P35" s="476" t="s">
        <v>58</v>
      </c>
      <c r="Q35" s="477" t="s">
        <v>30</v>
      </c>
      <c r="R35" s="478">
        <v>0</v>
      </c>
      <c r="S35" s="479">
        <v>7</v>
      </c>
      <c r="T35" s="1">
        <v>64000</v>
      </c>
      <c r="U35" s="656">
        <v>46333.881914424732</v>
      </c>
      <c r="V35" s="479">
        <v>250</v>
      </c>
      <c r="W35" s="483">
        <v>0</v>
      </c>
      <c r="X35" s="476">
        <v>0</v>
      </c>
      <c r="Y35" s="476">
        <v>1</v>
      </c>
      <c r="Z35" s="476">
        <v>0</v>
      </c>
      <c r="AA35" s="480" t="s">
        <v>995</v>
      </c>
      <c r="AB35" s="561">
        <f t="shared" si="1"/>
        <v>51</v>
      </c>
      <c r="AC35" s="561">
        <f t="shared" si="2"/>
        <v>33</v>
      </c>
      <c r="AD35" s="624" t="str">
        <f>IF(AB35="","",VLOOKUP(AB35,trancheage[],2,TRUE))</f>
        <v>50 ans et plus</v>
      </c>
      <c r="AE35" s="624" t="str">
        <f>IFERROR(VLOOKUP(AC35,trancheanciennete[],2,TRUE),"")</f>
        <v>7 : 30-34</v>
      </c>
      <c r="AF35" s="625" t="str">
        <f>IF(T35&gt;0,VLOOKUP(T35,Trancheremuneration[],2,TRUE),"")</f>
        <v>5 : + de 23 000</v>
      </c>
      <c r="AG35" s="623">
        <f t="shared" si="3"/>
        <v>69750.822871637094</v>
      </c>
      <c r="AH35" s="631" t="str">
        <f t="shared" si="4"/>
        <v>catégorie 2</v>
      </c>
      <c r="AI35" s="631"/>
      <c r="AM35"/>
      <c r="AN35"/>
      <c r="AO35"/>
    </row>
    <row r="36" spans="1:41" ht="14">
      <c r="A36" t="s">
        <v>649</v>
      </c>
      <c r="B36" s="471" t="s">
        <v>27</v>
      </c>
      <c r="C36" s="651">
        <v>23177</v>
      </c>
      <c r="D36" s="652">
        <v>31961</v>
      </c>
      <c r="E36" s="473" t="s">
        <v>504</v>
      </c>
      <c r="F36" s="1029" t="s">
        <v>50</v>
      </c>
      <c r="G36" s="472" t="s">
        <v>395</v>
      </c>
      <c r="H36" s="472" t="s">
        <v>394</v>
      </c>
      <c r="I36" s="474" t="s">
        <v>23</v>
      </c>
      <c r="J36" s="474" t="s">
        <v>18</v>
      </c>
      <c r="K36" s="475" t="s">
        <v>305</v>
      </c>
      <c r="L36" s="861" t="str">
        <f t="shared" si="0"/>
        <v>salarié</v>
      </c>
      <c r="M36" s="485" t="s">
        <v>48</v>
      </c>
      <c r="N36" s="485" t="s">
        <v>0</v>
      </c>
      <c r="O36" s="486">
        <v>0.8</v>
      </c>
      <c r="P36" s="481" t="s">
        <v>58</v>
      </c>
      <c r="Q36" s="482" t="s">
        <v>33</v>
      </c>
      <c r="R36" s="478">
        <v>1</v>
      </c>
      <c r="S36" s="479">
        <v>14</v>
      </c>
      <c r="T36" s="1">
        <v>47920</v>
      </c>
      <c r="U36" s="656">
        <v>17727.997319887167</v>
      </c>
      <c r="V36" s="479">
        <v>500</v>
      </c>
      <c r="W36" s="483">
        <v>1</v>
      </c>
      <c r="X36" s="476">
        <v>0</v>
      </c>
      <c r="Y36" s="476">
        <v>0</v>
      </c>
      <c r="Z36" s="476">
        <v>1</v>
      </c>
      <c r="AA36" s="480" t="s">
        <v>995</v>
      </c>
      <c r="AB36" s="561">
        <f t="shared" si="1"/>
        <v>57</v>
      </c>
      <c r="AC36" s="561">
        <f t="shared" si="2"/>
        <v>33</v>
      </c>
      <c r="AD36" s="624" t="str">
        <f>IF(AB36="","",VLOOKUP(AB36,trancheage[],2,TRUE))</f>
        <v>50 ans et plus</v>
      </c>
      <c r="AE36" s="624" t="str">
        <f>IFERROR(VLOOKUP(AC36,trancheanciennete[],2,TRUE),"")</f>
        <v>7 : 30-34</v>
      </c>
      <c r="AF36" s="625" t="str">
        <f>IF(T36&gt;0,VLOOKUP(T36,Trancheremuneration[],2,TRUE),"")</f>
        <v>5 : + de 23 000</v>
      </c>
      <c r="AG36" s="623">
        <f t="shared" si="3"/>
        <v>21773.596783864599</v>
      </c>
      <c r="AH36" s="631" t="str">
        <f t="shared" si="4"/>
        <v>catégorie 3</v>
      </c>
      <c r="AI36" s="631"/>
      <c r="AM36"/>
      <c r="AN36"/>
      <c r="AO36"/>
    </row>
    <row r="37" spans="1:41" ht="14">
      <c r="A37" t="s">
        <v>559</v>
      </c>
      <c r="B37" s="471" t="s">
        <v>27</v>
      </c>
      <c r="C37" s="651">
        <v>21891</v>
      </c>
      <c r="D37" s="652">
        <v>32055</v>
      </c>
      <c r="E37" s="473" t="s">
        <v>503</v>
      </c>
      <c r="F37" s="1029" t="s">
        <v>49</v>
      </c>
      <c r="G37" s="472" t="s">
        <v>395</v>
      </c>
      <c r="H37" s="472" t="s">
        <v>393</v>
      </c>
      <c r="I37" s="474" t="s">
        <v>23</v>
      </c>
      <c r="J37" s="474" t="s">
        <v>18</v>
      </c>
      <c r="K37" s="475" t="s">
        <v>303</v>
      </c>
      <c r="L37" s="861" t="str">
        <f t="shared" si="0"/>
        <v>salarié</v>
      </c>
      <c r="M37" s="485" t="s">
        <v>42</v>
      </c>
      <c r="N37" s="485" t="s">
        <v>0</v>
      </c>
      <c r="O37" s="486">
        <v>0.8</v>
      </c>
      <c r="P37" s="481" t="s">
        <v>59</v>
      </c>
      <c r="Q37" s="482" t="s">
        <v>31</v>
      </c>
      <c r="R37" s="478">
        <v>0</v>
      </c>
      <c r="S37" s="479">
        <v>7</v>
      </c>
      <c r="T37" s="1">
        <v>17200</v>
      </c>
      <c r="U37" s="656">
        <v>41924.283295994217</v>
      </c>
      <c r="V37" s="479">
        <v>250</v>
      </c>
      <c r="W37" s="483">
        <v>0</v>
      </c>
      <c r="X37" s="476">
        <v>1</v>
      </c>
      <c r="Y37" s="476">
        <v>1</v>
      </c>
      <c r="Z37" s="476">
        <v>1</v>
      </c>
      <c r="AA37" s="480" t="s">
        <v>995</v>
      </c>
      <c r="AB37" s="561">
        <f t="shared" si="1"/>
        <v>60</v>
      </c>
      <c r="AC37" s="561">
        <f t="shared" si="2"/>
        <v>32</v>
      </c>
      <c r="AD37" s="624" t="str">
        <f>IF(AB37="","",VLOOKUP(AB37,trancheage[],2,TRUE))</f>
        <v>50 ans et plus</v>
      </c>
      <c r="AE37" s="624" t="str">
        <f>IFERROR(VLOOKUP(AC37,trancheanciennete[],2,TRUE),"")</f>
        <v>7 : 30-34</v>
      </c>
      <c r="AF37" s="625" t="str">
        <f>IF(T37&gt;0,VLOOKUP(T37,Trancheremuneration[],2,TRUE),"")</f>
        <v>3:17 000-20 000</v>
      </c>
      <c r="AG37" s="623">
        <f t="shared" si="3"/>
        <v>50559.139955193059</v>
      </c>
      <c r="AH37" s="631" t="str">
        <f t="shared" si="4"/>
        <v>catégorie 2</v>
      </c>
      <c r="AI37" s="631"/>
      <c r="AM37"/>
      <c r="AN37"/>
      <c r="AO37"/>
    </row>
    <row r="38" spans="1:41" ht="14">
      <c r="A38" t="s">
        <v>650</v>
      </c>
      <c r="B38" s="471" t="s">
        <v>27</v>
      </c>
      <c r="C38" s="651">
        <v>25451</v>
      </c>
      <c r="D38" s="652">
        <v>32216</v>
      </c>
      <c r="E38" s="473" t="s">
        <v>501</v>
      </c>
      <c r="F38" s="1029" t="s">
        <v>3</v>
      </c>
      <c r="G38" s="472" t="s">
        <v>396</v>
      </c>
      <c r="H38" s="472" t="s">
        <v>394</v>
      </c>
      <c r="I38" s="474" t="s">
        <v>22</v>
      </c>
      <c r="J38" s="474" t="s">
        <v>28</v>
      </c>
      <c r="K38" s="475" t="s">
        <v>43</v>
      </c>
      <c r="L38" s="861" t="str">
        <f t="shared" si="0"/>
        <v>salarié</v>
      </c>
      <c r="M38" s="485" t="s">
        <v>48</v>
      </c>
      <c r="N38" s="485" t="s">
        <v>1</v>
      </c>
      <c r="O38" s="486">
        <v>1</v>
      </c>
      <c r="P38" s="481" t="s">
        <v>59</v>
      </c>
      <c r="Q38" s="482" t="s">
        <v>30</v>
      </c>
      <c r="R38" s="478">
        <v>0</v>
      </c>
      <c r="S38" s="479">
        <v>7</v>
      </c>
      <c r="T38" s="1">
        <v>37360</v>
      </c>
      <c r="U38" s="656">
        <v>26156.023906499271</v>
      </c>
      <c r="V38" s="479">
        <v>500</v>
      </c>
      <c r="W38" s="483">
        <v>0</v>
      </c>
      <c r="X38" s="476">
        <v>0</v>
      </c>
      <c r="Y38" s="476">
        <v>0</v>
      </c>
      <c r="Z38" s="476">
        <v>1</v>
      </c>
      <c r="AA38" s="480" t="s">
        <v>995</v>
      </c>
      <c r="AB38" s="561">
        <f t="shared" si="1"/>
        <v>50</v>
      </c>
      <c r="AC38" s="561">
        <f t="shared" si="2"/>
        <v>32</v>
      </c>
      <c r="AD38" s="624" t="str">
        <f>IF(AB38="","",VLOOKUP(AB38,trancheage[],2,TRUE))</f>
        <v>50 ans et plus</v>
      </c>
      <c r="AE38" s="624" t="str">
        <f>IFERROR(VLOOKUP(AC38,trancheanciennete[],2,TRUE),"")</f>
        <v>7 : 30-34</v>
      </c>
      <c r="AF38" s="625" t="str">
        <f>IF(T38&gt;0,VLOOKUP(T38,Trancheremuneration[],2,TRUE),"")</f>
        <v>5 : + de 23 000</v>
      </c>
      <c r="AG38" s="623">
        <f t="shared" si="3"/>
        <v>26656.023906499271</v>
      </c>
      <c r="AH38" s="631" t="str">
        <f t="shared" si="4"/>
        <v>catégorie 3</v>
      </c>
      <c r="AI38" s="631"/>
      <c r="AM38"/>
      <c r="AN38"/>
      <c r="AO38"/>
    </row>
    <row r="39" spans="1:41" ht="14">
      <c r="A39" t="s">
        <v>651</v>
      </c>
      <c r="B39" s="471" t="s">
        <v>47</v>
      </c>
      <c r="C39" s="651">
        <v>24714</v>
      </c>
      <c r="D39" s="652">
        <v>32289</v>
      </c>
      <c r="E39" s="473" t="s">
        <v>501</v>
      </c>
      <c r="F39" s="1029" t="s">
        <v>3</v>
      </c>
      <c r="G39" s="472" t="s">
        <v>395</v>
      </c>
      <c r="H39" s="472" t="s">
        <v>392</v>
      </c>
      <c r="I39" s="474" t="s">
        <v>22</v>
      </c>
      <c r="J39" s="474" t="s">
        <v>28</v>
      </c>
      <c r="K39" s="475" t="s">
        <v>43</v>
      </c>
      <c r="L39" s="861" t="str">
        <f t="shared" si="0"/>
        <v>salarié</v>
      </c>
      <c r="M39" s="485" t="s">
        <v>42</v>
      </c>
      <c r="N39" s="485" t="s">
        <v>1</v>
      </c>
      <c r="O39" s="486">
        <v>1</v>
      </c>
      <c r="P39" s="481" t="s">
        <v>58</v>
      </c>
      <c r="Q39" s="482" t="s">
        <v>34</v>
      </c>
      <c r="R39" s="478">
        <v>1</v>
      </c>
      <c r="S39" s="479">
        <v>7</v>
      </c>
      <c r="T39" s="1">
        <v>25720</v>
      </c>
      <c r="U39" s="656">
        <v>9589.3240835680372</v>
      </c>
      <c r="V39" s="479">
        <v>250</v>
      </c>
      <c r="W39" s="483">
        <v>1</v>
      </c>
      <c r="X39" s="476">
        <v>0</v>
      </c>
      <c r="Y39" s="476">
        <v>1</v>
      </c>
      <c r="Z39" s="476">
        <v>0</v>
      </c>
      <c r="AA39" s="480" t="s">
        <v>995</v>
      </c>
      <c r="AB39" s="561">
        <f t="shared" si="1"/>
        <v>53</v>
      </c>
      <c r="AC39" s="561">
        <f t="shared" si="2"/>
        <v>32</v>
      </c>
      <c r="AD39" s="624" t="str">
        <f>IF(AB39="","",VLOOKUP(AB39,trancheage[],2,TRUE))</f>
        <v>50 ans et plus</v>
      </c>
      <c r="AE39" s="624" t="str">
        <f>IFERROR(VLOOKUP(AC39,trancheanciennete[],2,TRUE),"")</f>
        <v>7 : 30-34</v>
      </c>
      <c r="AF39" s="625" t="str">
        <f>IF(T39&gt;0,VLOOKUP(T39,Trancheremuneration[],2,TRUE),"")</f>
        <v>5 : + de 23 000</v>
      </c>
      <c r="AG39" s="623">
        <f t="shared" si="3"/>
        <v>9839.3240835680372</v>
      </c>
      <c r="AH39" s="631" t="str">
        <f t="shared" si="4"/>
        <v>catégorie 1</v>
      </c>
      <c r="AI39" s="631"/>
      <c r="AM39"/>
      <c r="AN39"/>
      <c r="AO39"/>
    </row>
    <row r="40" spans="1:41" ht="14">
      <c r="A40" t="s">
        <v>652</v>
      </c>
      <c r="B40" s="471" t="s">
        <v>27</v>
      </c>
      <c r="C40" s="651">
        <v>26081</v>
      </c>
      <c r="D40" s="652">
        <v>32461</v>
      </c>
      <c r="E40" s="473" t="s">
        <v>501</v>
      </c>
      <c r="F40" s="1029" t="s">
        <v>3</v>
      </c>
      <c r="G40" s="472" t="s">
        <v>397</v>
      </c>
      <c r="H40" s="472" t="s">
        <v>392</v>
      </c>
      <c r="I40" s="474" t="s">
        <v>22</v>
      </c>
      <c r="J40" s="474" t="s">
        <v>28</v>
      </c>
      <c r="K40" s="475" t="s">
        <v>43</v>
      </c>
      <c r="L40" s="861" t="str">
        <f t="shared" si="0"/>
        <v>salarié</v>
      </c>
      <c r="M40" s="485" t="s">
        <v>48</v>
      </c>
      <c r="N40" s="485" t="s">
        <v>1</v>
      </c>
      <c r="O40" s="486">
        <v>1</v>
      </c>
      <c r="P40" s="481" t="s">
        <v>59</v>
      </c>
      <c r="Q40" s="482" t="s">
        <v>33</v>
      </c>
      <c r="R40" s="478">
        <v>1</v>
      </c>
      <c r="S40" s="479">
        <v>7</v>
      </c>
      <c r="T40" s="1">
        <v>11200</v>
      </c>
      <c r="U40" s="656">
        <v>16901.70308779904</v>
      </c>
      <c r="V40" s="479">
        <v>250</v>
      </c>
      <c r="W40" s="483">
        <v>1</v>
      </c>
      <c r="X40" s="476">
        <v>0</v>
      </c>
      <c r="Y40" s="476">
        <v>1</v>
      </c>
      <c r="Z40" s="476">
        <v>0</v>
      </c>
      <c r="AA40" s="480" t="s">
        <v>995</v>
      </c>
      <c r="AB40" s="561">
        <f t="shared" si="1"/>
        <v>49</v>
      </c>
      <c r="AC40" s="561">
        <f t="shared" si="2"/>
        <v>31</v>
      </c>
      <c r="AD40" s="624" t="str">
        <f>IF(AB40="","",VLOOKUP(AB40,trancheage[],2,TRUE))</f>
        <v>50 ans et plus</v>
      </c>
      <c r="AE40" s="624" t="str">
        <f>IFERROR(VLOOKUP(AC40,trancheanciennete[],2,TRUE),"")</f>
        <v>7 : 30-34</v>
      </c>
      <c r="AF40" s="625" t="str">
        <f>IF(T40&gt;0,VLOOKUP(T40,Trancheremuneration[],2,TRUE),"")</f>
        <v>1:7 000-14 000</v>
      </c>
      <c r="AG40" s="623">
        <f t="shared" si="3"/>
        <v>17151.70308779904</v>
      </c>
      <c r="AH40" s="631" t="str">
        <f t="shared" si="4"/>
        <v>catégorie 1</v>
      </c>
      <c r="AI40" s="631"/>
      <c r="AM40"/>
      <c r="AN40"/>
      <c r="AO40"/>
    </row>
    <row r="41" spans="1:41" ht="14">
      <c r="A41" t="s">
        <v>653</v>
      </c>
      <c r="B41" s="471" t="s">
        <v>27</v>
      </c>
      <c r="C41" s="651">
        <v>25582</v>
      </c>
      <c r="D41" s="652">
        <v>32582</v>
      </c>
      <c r="E41" s="473" t="s">
        <v>502</v>
      </c>
      <c r="F41" s="1029" t="s">
        <v>50</v>
      </c>
      <c r="G41" s="472" t="s">
        <v>398</v>
      </c>
      <c r="H41" s="472" t="s">
        <v>394</v>
      </c>
      <c r="I41" s="474" t="s">
        <v>22</v>
      </c>
      <c r="J41" s="474" t="s">
        <v>28</v>
      </c>
      <c r="K41" s="475" t="s">
        <v>56</v>
      </c>
      <c r="L41" s="861" t="str">
        <f t="shared" si="0"/>
        <v>salarié</v>
      </c>
      <c r="M41" s="485" t="s">
        <v>48</v>
      </c>
      <c r="N41" s="485" t="s">
        <v>1</v>
      </c>
      <c r="O41" s="486">
        <v>1</v>
      </c>
      <c r="P41" s="481" t="s">
        <v>58</v>
      </c>
      <c r="Q41" s="482" t="s">
        <v>34</v>
      </c>
      <c r="R41" s="478">
        <v>1</v>
      </c>
      <c r="S41" s="479">
        <v>28</v>
      </c>
      <c r="T41" s="1">
        <v>16720</v>
      </c>
      <c r="U41" s="656">
        <v>39335.705749000866</v>
      </c>
      <c r="V41" s="479">
        <v>250</v>
      </c>
      <c r="W41" s="483">
        <v>1</v>
      </c>
      <c r="X41" s="476">
        <v>0</v>
      </c>
      <c r="Y41" s="476">
        <v>1</v>
      </c>
      <c r="Z41" s="476">
        <v>0</v>
      </c>
      <c r="AA41" s="480" t="s">
        <v>995</v>
      </c>
      <c r="AB41" s="561">
        <f t="shared" si="1"/>
        <v>50</v>
      </c>
      <c r="AC41" s="561">
        <f t="shared" si="2"/>
        <v>31</v>
      </c>
      <c r="AD41" s="624" t="str">
        <f>IF(AB41="","",VLOOKUP(AB41,trancheage[],2,TRUE))</f>
        <v>50 ans et plus</v>
      </c>
      <c r="AE41" s="624" t="str">
        <f>IFERROR(VLOOKUP(AC41,trancheanciennete[],2,TRUE),"")</f>
        <v>7 : 30-34</v>
      </c>
      <c r="AF41" s="625" t="str">
        <f>IF(T41&gt;0,VLOOKUP(T41,Trancheremuneration[],2,TRUE),"")</f>
        <v>2:14 000-17 000</v>
      </c>
      <c r="AG41" s="623">
        <f t="shared" si="3"/>
        <v>39585.705749000866</v>
      </c>
      <c r="AH41" s="631" t="str">
        <f t="shared" si="4"/>
        <v>catégorie 3</v>
      </c>
      <c r="AI41" s="631"/>
      <c r="AM41"/>
      <c r="AN41"/>
      <c r="AO41"/>
    </row>
    <row r="42" spans="1:41" ht="14">
      <c r="A42" t="s">
        <v>654</v>
      </c>
      <c r="B42" s="471" t="s">
        <v>27</v>
      </c>
      <c r="C42" s="651">
        <v>26819</v>
      </c>
      <c r="D42" s="652">
        <v>32724</v>
      </c>
      <c r="E42" s="473" t="s">
        <v>505</v>
      </c>
      <c r="F42" s="1029" t="s">
        <v>50</v>
      </c>
      <c r="G42" s="472" t="s">
        <v>399</v>
      </c>
      <c r="H42" s="472" t="s">
        <v>394</v>
      </c>
      <c r="I42" s="474" t="s">
        <v>22</v>
      </c>
      <c r="J42" s="474" t="s">
        <v>28</v>
      </c>
      <c r="K42" s="475" t="s">
        <v>35</v>
      </c>
      <c r="L42" s="861" t="str">
        <f t="shared" si="0"/>
        <v>salarié</v>
      </c>
      <c r="M42" s="485" t="s">
        <v>48</v>
      </c>
      <c r="N42" s="485" t="s">
        <v>1</v>
      </c>
      <c r="O42" s="486">
        <v>1</v>
      </c>
      <c r="P42" s="481" t="s">
        <v>58</v>
      </c>
      <c r="Q42" s="482" t="s">
        <v>33</v>
      </c>
      <c r="R42" s="478">
        <v>1</v>
      </c>
      <c r="S42" s="479">
        <v>14</v>
      </c>
      <c r="T42" s="1">
        <v>35440</v>
      </c>
      <c r="U42" s="656">
        <v>17663.602358845863</v>
      </c>
      <c r="V42" s="479">
        <v>250</v>
      </c>
      <c r="W42" s="483">
        <v>1</v>
      </c>
      <c r="X42" s="476">
        <v>0</v>
      </c>
      <c r="Y42" s="476">
        <v>0</v>
      </c>
      <c r="Z42" s="476">
        <v>0</v>
      </c>
      <c r="AA42" s="480" t="s">
        <v>995</v>
      </c>
      <c r="AB42" s="561">
        <f t="shared" si="1"/>
        <v>47</v>
      </c>
      <c r="AC42" s="561">
        <f t="shared" si="2"/>
        <v>31</v>
      </c>
      <c r="AD42" s="624" t="str">
        <f>IF(AB42="","",VLOOKUP(AB42,trancheage[],2,TRUE))</f>
        <v>40 à 49 ans</v>
      </c>
      <c r="AE42" s="624" t="str">
        <f>IFERROR(VLOOKUP(AC42,trancheanciennete[],2,TRUE),"")</f>
        <v>7 : 30-34</v>
      </c>
      <c r="AF42" s="625" t="str">
        <f>IF(T42&gt;0,VLOOKUP(T42,Trancheremuneration[],2,TRUE),"")</f>
        <v>5 : + de 23 000</v>
      </c>
      <c r="AG42" s="623">
        <f t="shared" si="3"/>
        <v>17913.602358845863</v>
      </c>
      <c r="AH42" s="631" t="str">
        <f t="shared" si="4"/>
        <v>catégorie 3</v>
      </c>
      <c r="AI42" s="631"/>
      <c r="AM42"/>
      <c r="AN42"/>
      <c r="AO42"/>
    </row>
    <row r="43" spans="1:41" ht="14">
      <c r="A43" t="s">
        <v>655</v>
      </c>
      <c r="B43" s="471" t="s">
        <v>47</v>
      </c>
      <c r="C43" s="651">
        <v>22757</v>
      </c>
      <c r="D43" s="652">
        <v>32801</v>
      </c>
      <c r="E43" s="473" t="s">
        <v>501</v>
      </c>
      <c r="F43" s="1029" t="s">
        <v>49</v>
      </c>
      <c r="G43" s="472" t="s">
        <v>395</v>
      </c>
      <c r="H43" s="472" t="s">
        <v>393</v>
      </c>
      <c r="I43" s="474" t="s">
        <v>22</v>
      </c>
      <c r="J43" s="474" t="s">
        <v>28</v>
      </c>
      <c r="K43" s="475" t="s">
        <v>43</v>
      </c>
      <c r="L43" s="861" t="str">
        <f t="shared" si="0"/>
        <v>salarié</v>
      </c>
      <c r="M43" s="485" t="s">
        <v>48</v>
      </c>
      <c r="N43" s="485" t="s">
        <v>1</v>
      </c>
      <c r="O43" s="486">
        <v>1</v>
      </c>
      <c r="P43" s="481" t="s">
        <v>58</v>
      </c>
      <c r="Q43" s="482" t="s">
        <v>31</v>
      </c>
      <c r="R43" s="478">
        <v>0</v>
      </c>
      <c r="S43" s="479">
        <v>7</v>
      </c>
      <c r="T43" s="1">
        <v>20080</v>
      </c>
      <c r="U43" s="656">
        <v>7870.7744944180031</v>
      </c>
      <c r="V43" s="479">
        <v>250</v>
      </c>
      <c r="W43" s="483">
        <v>0</v>
      </c>
      <c r="X43" s="476">
        <v>1</v>
      </c>
      <c r="Y43" s="476">
        <v>0</v>
      </c>
      <c r="Z43" s="476">
        <v>0</v>
      </c>
      <c r="AA43" s="480" t="s">
        <v>995</v>
      </c>
      <c r="AB43" s="561">
        <f t="shared" si="1"/>
        <v>58</v>
      </c>
      <c r="AC43" s="561">
        <f t="shared" si="2"/>
        <v>30</v>
      </c>
      <c r="AD43" s="624" t="str">
        <f>IF(AB43="","",VLOOKUP(AB43,trancheage[],2,TRUE))</f>
        <v>50 ans et plus</v>
      </c>
      <c r="AE43" s="624" t="str">
        <f>IFERROR(VLOOKUP(AC43,trancheanciennete[],2,TRUE),"")</f>
        <v>7 : 30-34</v>
      </c>
      <c r="AF43" s="625" t="str">
        <f>IF(T43&gt;0,VLOOKUP(T43,Trancheremuneration[],2,TRUE),"")</f>
        <v>4: 20 000-23 000</v>
      </c>
      <c r="AG43" s="623">
        <f t="shared" si="3"/>
        <v>8120.7744944180031</v>
      </c>
      <c r="AH43" s="631" t="str">
        <f t="shared" si="4"/>
        <v>catégorie 2</v>
      </c>
      <c r="AI43" s="631"/>
    </row>
    <row r="44" spans="1:41" ht="14">
      <c r="A44" t="s">
        <v>656</v>
      </c>
      <c r="B44" s="471" t="s">
        <v>47</v>
      </c>
      <c r="C44" s="651">
        <v>22821</v>
      </c>
      <c r="D44" s="652">
        <v>32961</v>
      </c>
      <c r="E44" s="473" t="s">
        <v>501</v>
      </c>
      <c r="F44" s="1029" t="s">
        <v>3</v>
      </c>
      <c r="G44" s="472" t="s">
        <v>395</v>
      </c>
      <c r="H44" s="472" t="s">
        <v>393</v>
      </c>
      <c r="I44" s="474" t="s">
        <v>22</v>
      </c>
      <c r="J44" s="474" t="s">
        <v>29</v>
      </c>
      <c r="K44" s="475" t="s">
        <v>43</v>
      </c>
      <c r="L44" s="861" t="str">
        <f t="shared" si="0"/>
        <v>salarié</v>
      </c>
      <c r="M44" s="485" t="s">
        <v>48</v>
      </c>
      <c r="N44" s="485" t="s">
        <v>1</v>
      </c>
      <c r="O44" s="486">
        <v>1</v>
      </c>
      <c r="P44" s="481" t="s">
        <v>58</v>
      </c>
      <c r="Q44" s="482" t="s">
        <v>31</v>
      </c>
      <c r="R44" s="478">
        <v>0</v>
      </c>
      <c r="S44" s="479">
        <v>0</v>
      </c>
      <c r="T44" s="1">
        <v>10960</v>
      </c>
      <c r="U44" s="656">
        <v>15337.539787358197</v>
      </c>
      <c r="V44" s="479">
        <v>100</v>
      </c>
      <c r="W44" s="483">
        <v>0</v>
      </c>
      <c r="X44" s="476">
        <v>1</v>
      </c>
      <c r="Y44" s="476">
        <v>0</v>
      </c>
      <c r="Z44" s="476">
        <v>0</v>
      </c>
      <c r="AA44" s="480" t="s">
        <v>996</v>
      </c>
      <c r="AB44" s="561">
        <f t="shared" si="1"/>
        <v>58</v>
      </c>
      <c r="AC44" s="561">
        <f t="shared" si="2"/>
        <v>30</v>
      </c>
      <c r="AD44" s="624" t="str">
        <f>IF(AB44="","",VLOOKUP(AB44,trancheage[],2,TRUE))</f>
        <v>50 ans et plus</v>
      </c>
      <c r="AE44" s="624" t="str">
        <f>IFERROR(VLOOKUP(AC44,trancheanciennete[],2,TRUE),"")</f>
        <v>7 : 30-34</v>
      </c>
      <c r="AF44" s="625" t="str">
        <f>IF(T44&gt;0,VLOOKUP(T44,Trancheremuneration[],2,TRUE),"")</f>
        <v>1:7 000-14 000</v>
      </c>
      <c r="AG44" s="623">
        <f t="shared" si="3"/>
        <v>15437.539787358197</v>
      </c>
      <c r="AH44" s="631" t="str">
        <f t="shared" si="4"/>
        <v>catégorie 2</v>
      </c>
      <c r="AI44" s="631"/>
    </row>
    <row r="45" spans="1:41" ht="14">
      <c r="A45" t="s">
        <v>657</v>
      </c>
      <c r="B45" s="471" t="s">
        <v>27</v>
      </c>
      <c r="C45" s="651">
        <v>21930</v>
      </c>
      <c r="D45" s="652">
        <v>33358</v>
      </c>
      <c r="E45" s="473" t="s">
        <v>505</v>
      </c>
      <c r="F45" s="1029" t="s">
        <v>51</v>
      </c>
      <c r="G45" s="472" t="s">
        <v>396</v>
      </c>
      <c r="H45" s="472" t="s">
        <v>393</v>
      </c>
      <c r="I45" s="474" t="s">
        <v>38</v>
      </c>
      <c r="J45" s="474" t="s">
        <v>284</v>
      </c>
      <c r="K45" s="475" t="s">
        <v>37</v>
      </c>
      <c r="L45" s="861" t="str">
        <f t="shared" si="0"/>
        <v>salarié</v>
      </c>
      <c r="M45" s="485" t="s">
        <v>48</v>
      </c>
      <c r="N45" s="485" t="s">
        <v>1</v>
      </c>
      <c r="O45" s="486">
        <v>1</v>
      </c>
      <c r="P45" s="481" t="s">
        <v>58</v>
      </c>
      <c r="Q45" s="482" t="s">
        <v>39</v>
      </c>
      <c r="R45" s="478">
        <v>1</v>
      </c>
      <c r="S45" s="479">
        <v>0</v>
      </c>
      <c r="T45" s="1">
        <v>14800</v>
      </c>
      <c r="U45" s="656">
        <v>25043.769958438315</v>
      </c>
      <c r="V45" s="479">
        <v>100</v>
      </c>
      <c r="W45" s="483">
        <v>1</v>
      </c>
      <c r="X45" s="476">
        <v>0</v>
      </c>
      <c r="Y45" s="476">
        <v>0</v>
      </c>
      <c r="Z45" s="476">
        <v>0</v>
      </c>
      <c r="AA45" s="480" t="s">
        <v>996</v>
      </c>
      <c r="AB45" s="561">
        <f t="shared" si="1"/>
        <v>60</v>
      </c>
      <c r="AC45" s="561">
        <f t="shared" si="2"/>
        <v>29</v>
      </c>
      <c r="AD45" s="624" t="str">
        <f>IF(AB45="","",VLOOKUP(AB45,trancheage[],2,TRUE))</f>
        <v>50 ans et plus</v>
      </c>
      <c r="AE45" s="624" t="str">
        <f>IFERROR(VLOOKUP(AC45,trancheanciennete[],2,TRUE),"")</f>
        <v>7 : 30-34</v>
      </c>
      <c r="AF45" s="625" t="str">
        <f>IF(T45&gt;0,VLOOKUP(T45,Trancheremuneration[],2,TRUE),"")</f>
        <v>2:14 000-17 000</v>
      </c>
      <c r="AG45" s="623">
        <f t="shared" si="3"/>
        <v>25143.769958438315</v>
      </c>
      <c r="AH45" s="631" t="str">
        <f t="shared" si="4"/>
        <v>catégorie 2</v>
      </c>
      <c r="AI45" s="631"/>
    </row>
    <row r="46" spans="1:41" ht="14">
      <c r="A46" t="s">
        <v>560</v>
      </c>
      <c r="B46" s="471" t="s">
        <v>47</v>
      </c>
      <c r="C46" s="651">
        <v>25063</v>
      </c>
      <c r="D46" s="652">
        <v>33401</v>
      </c>
      <c r="E46" s="473" t="s">
        <v>501</v>
      </c>
      <c r="F46" s="1029" t="s">
        <v>3</v>
      </c>
      <c r="G46" s="472" t="s">
        <v>397</v>
      </c>
      <c r="H46" s="472" t="s">
        <v>393</v>
      </c>
      <c r="I46" s="474" t="s">
        <v>22</v>
      </c>
      <c r="J46" s="474" t="s">
        <v>29</v>
      </c>
      <c r="K46" s="475" t="s">
        <v>43</v>
      </c>
      <c r="L46" s="861" t="str">
        <f t="shared" si="0"/>
        <v>salarié</v>
      </c>
      <c r="M46" s="485" t="s">
        <v>48</v>
      </c>
      <c r="N46" s="485" t="s">
        <v>0</v>
      </c>
      <c r="O46" s="486">
        <v>0.8</v>
      </c>
      <c r="P46" s="481" t="s">
        <v>59</v>
      </c>
      <c r="Q46" s="482" t="s">
        <v>32</v>
      </c>
      <c r="R46" s="478">
        <v>0</v>
      </c>
      <c r="S46" s="479">
        <v>0</v>
      </c>
      <c r="T46" s="1">
        <v>30760</v>
      </c>
      <c r="U46" s="656">
        <v>22400.245119768166</v>
      </c>
      <c r="V46" s="479">
        <v>250</v>
      </c>
      <c r="W46" s="483">
        <v>0</v>
      </c>
      <c r="X46" s="476">
        <v>0</v>
      </c>
      <c r="Y46" s="476">
        <v>0</v>
      </c>
      <c r="Z46" s="476">
        <v>0</v>
      </c>
      <c r="AA46" s="480" t="s">
        <v>996</v>
      </c>
      <c r="AB46" s="561">
        <f t="shared" si="1"/>
        <v>52</v>
      </c>
      <c r="AC46" s="561">
        <f t="shared" si="2"/>
        <v>29</v>
      </c>
      <c r="AD46" s="624" t="str">
        <f>IF(AB46="","",VLOOKUP(AB46,trancheage[],2,TRUE))</f>
        <v>50 ans et plus</v>
      </c>
      <c r="AE46" s="624" t="str">
        <f>IFERROR(VLOOKUP(AC46,trancheanciennete[],2,TRUE),"")</f>
        <v>7 : 30-34</v>
      </c>
      <c r="AF46" s="625" t="str">
        <f>IF(T46&gt;0,VLOOKUP(T46,Trancheremuneration[],2,TRUE),"")</f>
        <v>5 : + de 23 000</v>
      </c>
      <c r="AG46" s="623">
        <f t="shared" si="3"/>
        <v>27130.2941437218</v>
      </c>
      <c r="AH46" s="631" t="str">
        <f t="shared" si="4"/>
        <v>catégorie 2</v>
      </c>
      <c r="AI46" s="631"/>
    </row>
    <row r="47" spans="1:41" ht="14">
      <c r="A47" t="s">
        <v>650</v>
      </c>
      <c r="B47" s="471" t="s">
        <v>27</v>
      </c>
      <c r="C47" s="651">
        <v>21991</v>
      </c>
      <c r="D47" s="652">
        <v>33748</v>
      </c>
      <c r="E47" s="473" t="s">
        <v>501</v>
      </c>
      <c r="F47" s="1029" t="s">
        <v>3</v>
      </c>
      <c r="G47" s="472" t="s">
        <v>398</v>
      </c>
      <c r="H47" s="472" t="s">
        <v>393</v>
      </c>
      <c r="I47" s="474" t="s">
        <v>22</v>
      </c>
      <c r="J47" s="474" t="s">
        <v>29</v>
      </c>
      <c r="K47" s="475" t="s">
        <v>43</v>
      </c>
      <c r="L47" s="861" t="str">
        <f t="shared" si="0"/>
        <v>salarié</v>
      </c>
      <c r="M47" s="485" t="s">
        <v>48</v>
      </c>
      <c r="N47" s="485" t="s">
        <v>0</v>
      </c>
      <c r="O47" s="486">
        <v>0.8</v>
      </c>
      <c r="P47" s="481" t="s">
        <v>59</v>
      </c>
      <c r="Q47" s="482" t="s">
        <v>32</v>
      </c>
      <c r="R47" s="478">
        <v>0</v>
      </c>
      <c r="S47" s="479">
        <v>0</v>
      </c>
      <c r="T47" s="1">
        <v>20320</v>
      </c>
      <c r="U47" s="656">
        <v>33280.696126502342</v>
      </c>
      <c r="V47" s="479">
        <v>500</v>
      </c>
      <c r="W47" s="483">
        <v>0</v>
      </c>
      <c r="X47" s="476">
        <v>1</v>
      </c>
      <c r="Y47" s="476">
        <v>0</v>
      </c>
      <c r="Z47" s="476">
        <v>0</v>
      </c>
      <c r="AA47" s="480" t="s">
        <v>996</v>
      </c>
      <c r="AB47" s="561">
        <f t="shared" si="1"/>
        <v>60</v>
      </c>
      <c r="AC47" s="561">
        <f t="shared" si="2"/>
        <v>28</v>
      </c>
      <c r="AD47" s="624" t="str">
        <f>IF(AB47="","",VLOOKUP(AB47,trancheage[],2,TRUE))</f>
        <v>50 ans et plus</v>
      </c>
      <c r="AE47" s="624" t="str">
        <f>IFERROR(VLOOKUP(AC47,trancheanciennete[],2,TRUE),"")</f>
        <v>6 : 25-29</v>
      </c>
      <c r="AF47" s="625" t="str">
        <f>IF(T47&gt;0,VLOOKUP(T47,Trancheremuneration[],2,TRUE),"")</f>
        <v>4: 20 000-23 000</v>
      </c>
      <c r="AG47" s="623">
        <f t="shared" si="3"/>
        <v>40436.835351802809</v>
      </c>
      <c r="AH47" s="631" t="str">
        <f t="shared" si="4"/>
        <v>catégorie 2</v>
      </c>
      <c r="AI47" s="631"/>
    </row>
    <row r="48" spans="1:41" ht="14">
      <c r="A48" t="s">
        <v>658</v>
      </c>
      <c r="B48" s="471" t="s">
        <v>27</v>
      </c>
      <c r="C48" s="651">
        <v>22626</v>
      </c>
      <c r="D48" s="652">
        <v>33842</v>
      </c>
      <c r="E48" s="473" t="s">
        <v>504</v>
      </c>
      <c r="F48" s="1029" t="s">
        <v>50</v>
      </c>
      <c r="G48" s="472" t="s">
        <v>399</v>
      </c>
      <c r="H48" s="472" t="s">
        <v>392</v>
      </c>
      <c r="I48" s="474" t="s">
        <v>23</v>
      </c>
      <c r="J48" s="474" t="s">
        <v>18</v>
      </c>
      <c r="K48" s="475" t="s">
        <v>36</v>
      </c>
      <c r="L48" s="861" t="str">
        <f t="shared" si="0"/>
        <v>salarié</v>
      </c>
      <c r="M48" s="485" t="s">
        <v>48</v>
      </c>
      <c r="N48" s="485" t="s">
        <v>1</v>
      </c>
      <c r="O48" s="486">
        <v>1</v>
      </c>
      <c r="P48" s="481" t="s">
        <v>59</v>
      </c>
      <c r="Q48" s="482" t="s">
        <v>30</v>
      </c>
      <c r="R48" s="478">
        <v>0</v>
      </c>
      <c r="S48" s="479">
        <v>14</v>
      </c>
      <c r="T48" s="1">
        <v>30760</v>
      </c>
      <c r="U48" s="656">
        <v>24337.593439781922</v>
      </c>
      <c r="V48" s="479">
        <v>250</v>
      </c>
      <c r="W48" s="483">
        <v>0</v>
      </c>
      <c r="X48" s="476">
        <v>0</v>
      </c>
      <c r="Y48" s="476">
        <v>1</v>
      </c>
      <c r="Z48" s="476">
        <v>0</v>
      </c>
      <c r="AA48" s="480" t="s">
        <v>996</v>
      </c>
      <c r="AB48" s="561">
        <f t="shared" si="1"/>
        <v>58</v>
      </c>
      <c r="AC48" s="561">
        <f t="shared" si="2"/>
        <v>28</v>
      </c>
      <c r="AD48" s="624" t="str">
        <f>IF(AB48="","",VLOOKUP(AB48,trancheage[],2,TRUE))</f>
        <v>50 ans et plus</v>
      </c>
      <c r="AE48" s="624" t="str">
        <f>IFERROR(VLOOKUP(AC48,trancheanciennete[],2,TRUE),"")</f>
        <v>6 : 25-29</v>
      </c>
      <c r="AF48" s="625" t="str">
        <f>IF(T48&gt;0,VLOOKUP(T48,Trancheremuneration[],2,TRUE),"")</f>
        <v>5 : + de 23 000</v>
      </c>
      <c r="AG48" s="623">
        <f t="shared" si="3"/>
        <v>24587.593439781922</v>
      </c>
      <c r="AH48" s="631" t="str">
        <f t="shared" si="4"/>
        <v>catégorie 1</v>
      </c>
      <c r="AI48" s="631"/>
    </row>
    <row r="49" spans="1:35" ht="14">
      <c r="A49" t="s">
        <v>659</v>
      </c>
      <c r="B49" s="471" t="s">
        <v>47</v>
      </c>
      <c r="C49" s="651">
        <v>21803</v>
      </c>
      <c r="D49" s="652">
        <v>33953</v>
      </c>
      <c r="E49" s="473" t="s">
        <v>505</v>
      </c>
      <c r="F49" s="1029" t="s">
        <v>50</v>
      </c>
      <c r="G49" s="472" t="s">
        <v>397</v>
      </c>
      <c r="H49" s="472" t="s">
        <v>392</v>
      </c>
      <c r="I49" s="474" t="s">
        <v>22</v>
      </c>
      <c r="J49" s="474" t="s">
        <v>29</v>
      </c>
      <c r="K49" s="475" t="s">
        <v>35</v>
      </c>
      <c r="L49" s="861" t="str">
        <f t="shared" si="0"/>
        <v>salarié</v>
      </c>
      <c r="M49" s="485" t="s">
        <v>48</v>
      </c>
      <c r="N49" s="485" t="s">
        <v>1</v>
      </c>
      <c r="O49" s="486">
        <v>1</v>
      </c>
      <c r="P49" s="481" t="s">
        <v>59</v>
      </c>
      <c r="Q49" s="482" t="s">
        <v>33</v>
      </c>
      <c r="R49" s="478">
        <v>1</v>
      </c>
      <c r="S49" s="479">
        <v>14</v>
      </c>
      <c r="T49" s="1">
        <v>22000</v>
      </c>
      <c r="U49" s="656">
        <v>19430.668181131787</v>
      </c>
      <c r="V49" s="479">
        <v>250</v>
      </c>
      <c r="W49" s="483">
        <v>1</v>
      </c>
      <c r="X49" s="476">
        <v>0</v>
      </c>
      <c r="Y49" s="476">
        <v>0</v>
      </c>
      <c r="Z49" s="476">
        <v>0</v>
      </c>
      <c r="AA49" s="480" t="s">
        <v>996</v>
      </c>
      <c r="AB49" s="561">
        <f t="shared" si="1"/>
        <v>60</v>
      </c>
      <c r="AC49" s="561">
        <f t="shared" si="2"/>
        <v>27</v>
      </c>
      <c r="AD49" s="624" t="str">
        <f>IF(AB49="","",VLOOKUP(AB49,trancheage[],2,TRUE))</f>
        <v>50 ans et plus</v>
      </c>
      <c r="AE49" s="624" t="str">
        <f>IFERROR(VLOOKUP(AC49,trancheanciennete[],2,TRUE),"")</f>
        <v>6 : 25-29</v>
      </c>
      <c r="AF49" s="625" t="str">
        <f>IF(T49&gt;0,VLOOKUP(T49,Trancheremuneration[],2,TRUE),"")</f>
        <v>4: 20 000-23 000</v>
      </c>
      <c r="AG49" s="623">
        <f t="shared" si="3"/>
        <v>19680.668181131787</v>
      </c>
      <c r="AH49" s="631" t="str">
        <f t="shared" si="4"/>
        <v>catégorie 1</v>
      </c>
      <c r="AI49" s="631"/>
    </row>
    <row r="50" spans="1:35" ht="14">
      <c r="A50" t="s">
        <v>660</v>
      </c>
      <c r="B50" s="471" t="s">
        <v>47</v>
      </c>
      <c r="C50" s="651">
        <v>24906</v>
      </c>
      <c r="D50" s="652">
        <v>34041</v>
      </c>
      <c r="E50" s="473" t="s">
        <v>501</v>
      </c>
      <c r="F50" s="1029" t="s">
        <v>51</v>
      </c>
      <c r="G50" s="472" t="s">
        <v>398</v>
      </c>
      <c r="H50" s="472" t="s">
        <v>392</v>
      </c>
      <c r="I50" s="474" t="s">
        <v>22</v>
      </c>
      <c r="J50" s="474" t="s">
        <v>29</v>
      </c>
      <c r="K50" s="475" t="s">
        <v>43</v>
      </c>
      <c r="L50" s="861" t="str">
        <f t="shared" si="0"/>
        <v>salarié</v>
      </c>
      <c r="M50" s="485" t="s">
        <v>48</v>
      </c>
      <c r="N50" s="485" t="s">
        <v>0</v>
      </c>
      <c r="O50" s="486">
        <v>0.5</v>
      </c>
      <c r="P50" s="481" t="s">
        <v>59</v>
      </c>
      <c r="Q50" s="482" t="s">
        <v>31</v>
      </c>
      <c r="R50" s="478">
        <v>0</v>
      </c>
      <c r="S50" s="479">
        <v>0</v>
      </c>
      <c r="T50" s="1">
        <v>17200</v>
      </c>
      <c r="U50" s="656">
        <v>65239.797824614652</v>
      </c>
      <c r="V50" s="479">
        <v>250</v>
      </c>
      <c r="W50" s="483">
        <v>0</v>
      </c>
      <c r="X50" s="476">
        <v>1</v>
      </c>
      <c r="Y50" s="476">
        <v>0</v>
      </c>
      <c r="Z50" s="476">
        <v>0</v>
      </c>
      <c r="AA50" s="480" t="s">
        <v>996</v>
      </c>
      <c r="AB50" s="561">
        <f t="shared" si="1"/>
        <v>52</v>
      </c>
      <c r="AC50" s="561">
        <f t="shared" si="2"/>
        <v>27</v>
      </c>
      <c r="AD50" s="624" t="str">
        <f>IF(AB50="","",VLOOKUP(AB50,trancheage[],2,TRUE))</f>
        <v>50 ans et plus</v>
      </c>
      <c r="AE50" s="624" t="str">
        <f>IFERROR(VLOOKUP(AC50,trancheanciennete[],2,TRUE),"")</f>
        <v>6 : 25-29</v>
      </c>
      <c r="AF50" s="625" t="str">
        <f>IF(T50&gt;0,VLOOKUP(T50,Trancheremuneration[],2,TRUE),"")</f>
        <v>3:17 000-20 000</v>
      </c>
      <c r="AG50" s="623">
        <f t="shared" si="3"/>
        <v>98109.696736921978</v>
      </c>
      <c r="AH50" s="631" t="str">
        <f t="shared" si="4"/>
        <v>catégorie 1</v>
      </c>
      <c r="AI50" s="631"/>
    </row>
    <row r="51" spans="1:35" ht="14">
      <c r="A51" t="s">
        <v>661</v>
      </c>
      <c r="B51" s="471" t="s">
        <v>27</v>
      </c>
      <c r="C51" s="651">
        <v>26465</v>
      </c>
      <c r="D51" s="652">
        <v>34174</v>
      </c>
      <c r="E51" s="473" t="s">
        <v>501</v>
      </c>
      <c r="F51" s="1029" t="s">
        <v>51</v>
      </c>
      <c r="G51" s="472" t="s">
        <v>395</v>
      </c>
      <c r="H51" s="472" t="s">
        <v>392</v>
      </c>
      <c r="I51" s="474" t="s">
        <v>22</v>
      </c>
      <c r="J51" s="474" t="s">
        <v>29</v>
      </c>
      <c r="K51" s="475" t="s">
        <v>43</v>
      </c>
      <c r="L51" s="861" t="str">
        <f t="shared" si="0"/>
        <v>salarié</v>
      </c>
      <c r="M51" s="485" t="s">
        <v>42</v>
      </c>
      <c r="N51" s="485" t="s">
        <v>1</v>
      </c>
      <c r="O51" s="486">
        <v>1</v>
      </c>
      <c r="P51" s="481" t="s">
        <v>59</v>
      </c>
      <c r="Q51" s="482" t="s">
        <v>31</v>
      </c>
      <c r="R51" s="478">
        <v>0</v>
      </c>
      <c r="S51" s="479">
        <v>0</v>
      </c>
      <c r="T51" s="1">
        <v>61000</v>
      </c>
      <c r="U51" s="656">
        <v>16355.195562830715</v>
      </c>
      <c r="V51" s="479">
        <v>250</v>
      </c>
      <c r="W51" s="483">
        <v>0</v>
      </c>
      <c r="X51" s="476">
        <v>1</v>
      </c>
      <c r="Y51" s="476">
        <v>0</v>
      </c>
      <c r="Z51" s="476">
        <v>0</v>
      </c>
      <c r="AA51" s="480" t="s">
        <v>996</v>
      </c>
      <c r="AB51" s="561">
        <f t="shared" si="1"/>
        <v>48</v>
      </c>
      <c r="AC51" s="561">
        <f t="shared" si="2"/>
        <v>27</v>
      </c>
      <c r="AD51" s="624" t="str">
        <f>IF(AB51="","",VLOOKUP(AB51,trancheage[],2,TRUE))</f>
        <v>40 à 49 ans</v>
      </c>
      <c r="AE51" s="624" t="str">
        <f>IFERROR(VLOOKUP(AC51,trancheanciennete[],2,TRUE),"")</f>
        <v>6 : 25-29</v>
      </c>
      <c r="AF51" s="625" t="str">
        <f>IF(T51&gt;0,VLOOKUP(T51,Trancheremuneration[],2,TRUE),"")</f>
        <v>5 : + de 23 000</v>
      </c>
      <c r="AG51" s="623">
        <f t="shared" si="3"/>
        <v>16605.195562830715</v>
      </c>
      <c r="AH51" s="631" t="str">
        <f t="shared" si="4"/>
        <v>catégorie 1</v>
      </c>
      <c r="AI51" s="631"/>
    </row>
    <row r="52" spans="1:35" ht="14">
      <c r="A52" t="s">
        <v>662</v>
      </c>
      <c r="B52" s="471" t="s">
        <v>27</v>
      </c>
      <c r="C52" s="651">
        <v>26969</v>
      </c>
      <c r="D52" s="652">
        <v>34184</v>
      </c>
      <c r="E52" s="473" t="s">
        <v>504</v>
      </c>
      <c r="F52" s="1029" t="s">
        <v>51</v>
      </c>
      <c r="G52" s="472" t="s">
        <v>395</v>
      </c>
      <c r="H52" s="472" t="s">
        <v>392</v>
      </c>
      <c r="I52" s="474" t="s">
        <v>23</v>
      </c>
      <c r="J52" s="474" t="s">
        <v>18</v>
      </c>
      <c r="K52" s="475" t="s">
        <v>36</v>
      </c>
      <c r="L52" s="861" t="str">
        <f t="shared" si="0"/>
        <v>salarié</v>
      </c>
      <c r="M52" s="485" t="s">
        <v>48</v>
      </c>
      <c r="N52" s="485" t="s">
        <v>0</v>
      </c>
      <c r="O52" s="486">
        <v>0.8</v>
      </c>
      <c r="P52" s="481" t="s">
        <v>59</v>
      </c>
      <c r="Q52" s="482" t="s">
        <v>30</v>
      </c>
      <c r="R52" s="478">
        <v>1</v>
      </c>
      <c r="S52" s="479">
        <v>21</v>
      </c>
      <c r="T52" s="1">
        <v>19120</v>
      </c>
      <c r="U52" s="656">
        <v>28553.368070922246</v>
      </c>
      <c r="V52" s="479">
        <v>250</v>
      </c>
      <c r="W52" s="483">
        <v>1</v>
      </c>
      <c r="X52" s="476">
        <v>0</v>
      </c>
      <c r="Y52" s="476">
        <v>0</v>
      </c>
      <c r="Z52" s="476">
        <v>0</v>
      </c>
      <c r="AA52" s="480" t="s">
        <v>996</v>
      </c>
      <c r="AB52" s="561">
        <f t="shared" si="1"/>
        <v>46</v>
      </c>
      <c r="AC52" s="561">
        <f t="shared" si="2"/>
        <v>27</v>
      </c>
      <c r="AD52" s="624" t="str">
        <f>IF(AB52="","",VLOOKUP(AB52,trancheage[],2,TRUE))</f>
        <v>40 à 49 ans</v>
      </c>
      <c r="AE52" s="624" t="str">
        <f>IFERROR(VLOOKUP(AC52,trancheanciennete[],2,TRUE),"")</f>
        <v>6 : 25-29</v>
      </c>
      <c r="AF52" s="625" t="str">
        <f>IF(T52&gt;0,VLOOKUP(T52,Trancheremuneration[],2,TRUE),"")</f>
        <v>3:17 000-20 000</v>
      </c>
      <c r="AG52" s="623">
        <f t="shared" si="3"/>
        <v>34514.041685106691</v>
      </c>
      <c r="AH52" s="631" t="str">
        <f t="shared" si="4"/>
        <v>catégorie 1</v>
      </c>
      <c r="AI52" s="631"/>
    </row>
    <row r="53" spans="1:35" ht="14">
      <c r="A53" t="s">
        <v>561</v>
      </c>
      <c r="B53" s="471" t="s">
        <v>27</v>
      </c>
      <c r="C53" s="651">
        <v>24786</v>
      </c>
      <c r="D53" s="652">
        <v>34428</v>
      </c>
      <c r="E53" s="473" t="s">
        <v>501</v>
      </c>
      <c r="F53" s="1029" t="s">
        <v>51</v>
      </c>
      <c r="G53" s="472" t="s">
        <v>395</v>
      </c>
      <c r="H53" s="472" t="s">
        <v>392</v>
      </c>
      <c r="I53" s="474" t="s">
        <v>22</v>
      </c>
      <c r="J53" s="474" t="s">
        <v>29</v>
      </c>
      <c r="K53" s="475" t="s">
        <v>43</v>
      </c>
      <c r="L53" s="861" t="str">
        <f t="shared" si="0"/>
        <v>salarié</v>
      </c>
      <c r="M53" s="485" t="s">
        <v>40</v>
      </c>
      <c r="N53" s="485" t="s">
        <v>0</v>
      </c>
      <c r="O53" s="486">
        <v>0.8</v>
      </c>
      <c r="P53" s="481" t="s">
        <v>59</v>
      </c>
      <c r="Q53" s="482" t="s">
        <v>32</v>
      </c>
      <c r="R53" s="478">
        <v>0</v>
      </c>
      <c r="S53" s="479">
        <v>0</v>
      </c>
      <c r="T53" s="1">
        <v>34360</v>
      </c>
      <c r="U53" s="656">
        <v>44152.783778367717</v>
      </c>
      <c r="V53" s="479">
        <v>250</v>
      </c>
      <c r="W53" s="483">
        <v>0</v>
      </c>
      <c r="X53" s="476">
        <v>1</v>
      </c>
      <c r="Y53" s="476">
        <v>0</v>
      </c>
      <c r="Z53" s="476">
        <v>0</v>
      </c>
      <c r="AA53" s="480" t="s">
        <v>996</v>
      </c>
      <c r="AB53" s="561">
        <f t="shared" si="1"/>
        <v>52</v>
      </c>
      <c r="AC53" s="561">
        <f t="shared" si="2"/>
        <v>26</v>
      </c>
      <c r="AD53" s="624" t="str">
        <f>IF(AB53="","",VLOOKUP(AB53,trancheage[],2,TRUE))</f>
        <v>50 ans et plus</v>
      </c>
      <c r="AE53" s="624" t="str">
        <f>IFERROR(VLOOKUP(AC53,trancheanciennete[],2,TRUE),"")</f>
        <v>6 : 25-29</v>
      </c>
      <c r="AF53" s="625" t="str">
        <f>IF(T53&gt;0,VLOOKUP(T53,Trancheremuneration[],2,TRUE),"")</f>
        <v>5 : + de 23 000</v>
      </c>
      <c r="AG53" s="623">
        <f t="shared" si="3"/>
        <v>53233.340534041257</v>
      </c>
      <c r="AH53" s="631" t="str">
        <f t="shared" si="4"/>
        <v>catégorie 1</v>
      </c>
      <c r="AI53" s="631"/>
    </row>
    <row r="54" spans="1:35" ht="14">
      <c r="A54" t="s">
        <v>562</v>
      </c>
      <c r="B54" s="471" t="s">
        <v>47</v>
      </c>
      <c r="C54" s="651">
        <v>24573</v>
      </c>
      <c r="D54" s="652">
        <v>34472</v>
      </c>
      <c r="E54" s="473" t="s">
        <v>501</v>
      </c>
      <c r="F54" s="1029" t="s">
        <v>51</v>
      </c>
      <c r="G54" s="472" t="s">
        <v>399</v>
      </c>
      <c r="H54" s="472" t="s">
        <v>392</v>
      </c>
      <c r="I54" s="474" t="s">
        <v>22</v>
      </c>
      <c r="J54" s="474" t="s">
        <v>28</v>
      </c>
      <c r="K54" s="475" t="s">
        <v>43</v>
      </c>
      <c r="L54" s="861" t="str">
        <f t="shared" si="0"/>
        <v>salarié</v>
      </c>
      <c r="M54" s="483" t="s">
        <v>48</v>
      </c>
      <c r="N54" s="483" t="s">
        <v>0</v>
      </c>
      <c r="O54" s="484">
        <v>0.8</v>
      </c>
      <c r="P54" s="476" t="s">
        <v>58</v>
      </c>
      <c r="Q54" s="477" t="s">
        <v>30</v>
      </c>
      <c r="R54" s="478">
        <v>0</v>
      </c>
      <c r="S54" s="479">
        <v>7</v>
      </c>
      <c r="T54" s="1">
        <v>51280</v>
      </c>
      <c r="U54" s="656">
        <v>19841.042579528996</v>
      </c>
      <c r="V54" s="479">
        <v>100</v>
      </c>
      <c r="W54" s="483">
        <v>0</v>
      </c>
      <c r="X54" s="476">
        <v>0</v>
      </c>
      <c r="Y54" s="476">
        <v>1</v>
      </c>
      <c r="Z54" s="476">
        <v>0</v>
      </c>
      <c r="AA54" s="480" t="s">
        <v>996</v>
      </c>
      <c r="AB54" s="561">
        <f t="shared" si="1"/>
        <v>53</v>
      </c>
      <c r="AC54" s="561">
        <f t="shared" si="2"/>
        <v>26</v>
      </c>
      <c r="AD54" s="624" t="str">
        <f>IF(AB54="","",VLOOKUP(AB54,trancheage[],2,TRUE))</f>
        <v>50 ans et plus</v>
      </c>
      <c r="AE54" s="624" t="str">
        <f>IFERROR(VLOOKUP(AC54,trancheanciennete[],2,TRUE),"")</f>
        <v>6 : 25-29</v>
      </c>
      <c r="AF54" s="625" t="str">
        <f>IF(T54&gt;0,VLOOKUP(T54,Trancheremuneration[],2,TRUE),"")</f>
        <v>5 : + de 23 000</v>
      </c>
      <c r="AG54" s="623">
        <f t="shared" si="3"/>
        <v>23909.251095434793</v>
      </c>
      <c r="AH54" s="631" t="str">
        <f t="shared" si="4"/>
        <v>catégorie 1</v>
      </c>
      <c r="AI54" s="631"/>
    </row>
    <row r="55" spans="1:35" ht="14">
      <c r="A55" t="s">
        <v>559</v>
      </c>
      <c r="B55" s="471" t="s">
        <v>27</v>
      </c>
      <c r="C55" s="651">
        <v>27486</v>
      </c>
      <c r="D55" s="652">
        <v>34694</v>
      </c>
      <c r="E55" s="473" t="s">
        <v>501</v>
      </c>
      <c r="F55" s="1029" t="s">
        <v>51</v>
      </c>
      <c r="G55" s="472" t="s">
        <v>396</v>
      </c>
      <c r="H55" s="472" t="s">
        <v>392</v>
      </c>
      <c r="I55" s="474" t="s">
        <v>22</v>
      </c>
      <c r="J55" s="474" t="s">
        <v>28</v>
      </c>
      <c r="K55" s="475" t="s">
        <v>43</v>
      </c>
      <c r="L55" s="861" t="str">
        <f t="shared" si="0"/>
        <v>salarié</v>
      </c>
      <c r="M55" s="483" t="s">
        <v>48</v>
      </c>
      <c r="N55" s="483" t="s">
        <v>0</v>
      </c>
      <c r="O55" s="484">
        <v>0.5</v>
      </c>
      <c r="P55" s="476" t="s">
        <v>58</v>
      </c>
      <c r="Q55" s="477" t="s">
        <v>30</v>
      </c>
      <c r="R55" s="478">
        <v>0</v>
      </c>
      <c r="S55" s="479">
        <v>7</v>
      </c>
      <c r="T55" s="1">
        <v>24280</v>
      </c>
      <c r="U55" s="656">
        <v>8959.0759426308414</v>
      </c>
      <c r="V55" s="479">
        <v>250</v>
      </c>
      <c r="W55" s="483">
        <v>0</v>
      </c>
      <c r="X55" s="476">
        <v>0</v>
      </c>
      <c r="Y55" s="476">
        <v>1</v>
      </c>
      <c r="Z55" s="476">
        <v>0</v>
      </c>
      <c r="AA55" s="480" t="s">
        <v>996</v>
      </c>
      <c r="AB55" s="561">
        <f t="shared" si="1"/>
        <v>45</v>
      </c>
      <c r="AC55" s="561">
        <f t="shared" si="2"/>
        <v>25</v>
      </c>
      <c r="AD55" s="624" t="str">
        <f>IF(AB55="","",VLOOKUP(AB55,trancheage[],2,TRUE))</f>
        <v>40 à 49 ans</v>
      </c>
      <c r="AE55" s="624" t="str">
        <f>IFERROR(VLOOKUP(AC55,trancheanciennete[],2,TRUE),"")</f>
        <v>6 : 25-29</v>
      </c>
      <c r="AF55" s="625" t="str">
        <f>IF(T55&gt;0,VLOOKUP(T55,Trancheremuneration[],2,TRUE),"")</f>
        <v>5 : + de 23 000</v>
      </c>
      <c r="AG55" s="623">
        <f t="shared" si="3"/>
        <v>13688.613913946261</v>
      </c>
      <c r="AH55" s="631" t="str">
        <f t="shared" si="4"/>
        <v>catégorie 1</v>
      </c>
      <c r="AI55" s="631"/>
    </row>
    <row r="56" spans="1:35" ht="14">
      <c r="A56" t="s">
        <v>663</v>
      </c>
      <c r="B56" s="471" t="s">
        <v>27</v>
      </c>
      <c r="C56" s="651">
        <v>24606</v>
      </c>
      <c r="D56" s="652">
        <v>34788</v>
      </c>
      <c r="E56" s="473" t="s">
        <v>504</v>
      </c>
      <c r="F56" s="1029" t="s">
        <v>51</v>
      </c>
      <c r="G56" s="472" t="s">
        <v>397</v>
      </c>
      <c r="H56" s="472" t="s">
        <v>392</v>
      </c>
      <c r="I56" s="474" t="s">
        <v>23</v>
      </c>
      <c r="J56" s="474" t="s">
        <v>18</v>
      </c>
      <c r="K56" s="475" t="s">
        <v>36</v>
      </c>
      <c r="L56" s="861" t="str">
        <f t="shared" si="0"/>
        <v>salarié</v>
      </c>
      <c r="M56" s="485" t="s">
        <v>48</v>
      </c>
      <c r="N56" s="485" t="s">
        <v>1</v>
      </c>
      <c r="O56" s="486">
        <v>1</v>
      </c>
      <c r="P56" s="481" t="s">
        <v>58</v>
      </c>
      <c r="Q56" s="482" t="s">
        <v>33</v>
      </c>
      <c r="R56" s="478">
        <v>1</v>
      </c>
      <c r="S56" s="479">
        <v>14</v>
      </c>
      <c r="T56" s="1">
        <v>10960</v>
      </c>
      <c r="U56" s="656">
        <v>37366.457711833384</v>
      </c>
      <c r="V56" s="479">
        <v>250</v>
      </c>
      <c r="W56" s="483">
        <v>1</v>
      </c>
      <c r="X56" s="476">
        <v>0</v>
      </c>
      <c r="Y56" s="476">
        <v>0</v>
      </c>
      <c r="Z56" s="476">
        <v>0</v>
      </c>
      <c r="AA56" s="480" t="s">
        <v>996</v>
      </c>
      <c r="AB56" s="561">
        <f t="shared" si="1"/>
        <v>53</v>
      </c>
      <c r="AC56" s="561">
        <f t="shared" si="2"/>
        <v>25</v>
      </c>
      <c r="AD56" s="624" t="str">
        <f>IF(AB56="","",VLOOKUP(AB56,trancheage[],2,TRUE))</f>
        <v>50 ans et plus</v>
      </c>
      <c r="AE56" s="624" t="str">
        <f>IFERROR(VLOOKUP(AC56,trancheanciennete[],2,TRUE),"")</f>
        <v>6 : 25-29</v>
      </c>
      <c r="AF56" s="625" t="str">
        <f>IF(T56&gt;0,VLOOKUP(T56,Trancheremuneration[],2,TRUE),"")</f>
        <v>1:7 000-14 000</v>
      </c>
      <c r="AG56" s="623">
        <f t="shared" si="3"/>
        <v>37616.457711833384</v>
      </c>
      <c r="AH56" s="631" t="str">
        <f t="shared" si="4"/>
        <v>catégorie 1</v>
      </c>
      <c r="AI56" s="631"/>
    </row>
    <row r="57" spans="1:35" ht="14">
      <c r="A57" t="s">
        <v>563</v>
      </c>
      <c r="B57" s="471" t="s">
        <v>27</v>
      </c>
      <c r="C57" s="651">
        <v>28140</v>
      </c>
      <c r="D57" s="652">
        <v>34824</v>
      </c>
      <c r="E57" s="473" t="s">
        <v>505</v>
      </c>
      <c r="F57" s="1029" t="s">
        <v>51</v>
      </c>
      <c r="G57" s="472" t="s">
        <v>398</v>
      </c>
      <c r="H57" s="472" t="s">
        <v>392</v>
      </c>
      <c r="I57" s="474" t="s">
        <v>23</v>
      </c>
      <c r="J57" s="474" t="s">
        <v>18</v>
      </c>
      <c r="K57" s="475" t="s">
        <v>302</v>
      </c>
      <c r="L57" s="861" t="str">
        <f t="shared" si="0"/>
        <v>salarié</v>
      </c>
      <c r="M57" s="485" t="s">
        <v>42</v>
      </c>
      <c r="N57" s="485" t="s">
        <v>0</v>
      </c>
      <c r="O57" s="486">
        <v>0.8</v>
      </c>
      <c r="P57" s="481" t="s">
        <v>59</v>
      </c>
      <c r="Q57" s="482" t="s">
        <v>31</v>
      </c>
      <c r="R57" s="478">
        <v>1</v>
      </c>
      <c r="S57" s="479">
        <v>7</v>
      </c>
      <c r="T57" s="1">
        <v>41800</v>
      </c>
      <c r="U57" s="656">
        <v>18301.102004723507</v>
      </c>
      <c r="V57" s="479">
        <v>250</v>
      </c>
      <c r="W57" s="483">
        <v>1</v>
      </c>
      <c r="X57" s="476">
        <v>1</v>
      </c>
      <c r="Y57" s="476">
        <v>1</v>
      </c>
      <c r="Z57" s="476">
        <v>0</v>
      </c>
      <c r="AA57" s="480" t="s">
        <v>996</v>
      </c>
      <c r="AB57" s="561">
        <f t="shared" si="1"/>
        <v>43</v>
      </c>
      <c r="AC57" s="561">
        <f t="shared" si="2"/>
        <v>25</v>
      </c>
      <c r="AD57" s="624" t="str">
        <f>IF(AB57="","",VLOOKUP(AB57,trancheage[],2,TRUE))</f>
        <v>40 à 49 ans</v>
      </c>
      <c r="AE57" s="624" t="str">
        <f>IFERROR(VLOOKUP(AC57,trancheanciennete[],2,TRUE),"")</f>
        <v>6 : 25-29</v>
      </c>
      <c r="AF57" s="625" t="str">
        <f>IF(T57&gt;0,VLOOKUP(T57,Trancheremuneration[],2,TRUE),"")</f>
        <v>5 : + de 23 000</v>
      </c>
      <c r="AG57" s="623">
        <f t="shared" si="3"/>
        <v>22211.322405668208</v>
      </c>
      <c r="AH57" s="631" t="str">
        <f t="shared" si="4"/>
        <v>catégorie 1</v>
      </c>
      <c r="AI57" s="631"/>
    </row>
    <row r="58" spans="1:35" ht="14" customHeight="1">
      <c r="A58" t="s">
        <v>564</v>
      </c>
      <c r="B58" s="471" t="s">
        <v>47</v>
      </c>
      <c r="C58" s="651">
        <v>27844</v>
      </c>
      <c r="D58" s="652">
        <v>34834</v>
      </c>
      <c r="E58" s="473" t="s">
        <v>501</v>
      </c>
      <c r="F58" s="1029" t="s">
        <v>51</v>
      </c>
      <c r="G58" s="472" t="s">
        <v>399</v>
      </c>
      <c r="H58" s="472" t="s">
        <v>392</v>
      </c>
      <c r="I58" s="474" t="s">
        <v>22</v>
      </c>
      <c r="J58" s="474" t="s">
        <v>28</v>
      </c>
      <c r="K58" s="475" t="s">
        <v>43</v>
      </c>
      <c r="L58" s="861" t="str">
        <f t="shared" si="0"/>
        <v>salarié</v>
      </c>
      <c r="M58" s="485" t="s">
        <v>48</v>
      </c>
      <c r="N58" s="485" t="s">
        <v>1</v>
      </c>
      <c r="O58" s="486">
        <v>1</v>
      </c>
      <c r="P58" s="481" t="s">
        <v>59</v>
      </c>
      <c r="Q58" s="482" t="s">
        <v>30</v>
      </c>
      <c r="R58" s="478">
        <v>0</v>
      </c>
      <c r="S58" s="479">
        <v>7</v>
      </c>
      <c r="T58" s="1">
        <v>18400</v>
      </c>
      <c r="U58" s="656">
        <v>16403.52478845045</v>
      </c>
      <c r="V58" s="479">
        <v>250</v>
      </c>
      <c r="W58" s="483">
        <v>0</v>
      </c>
      <c r="X58" s="476">
        <v>0</v>
      </c>
      <c r="Y58" s="476">
        <v>0</v>
      </c>
      <c r="Z58" s="476">
        <v>1</v>
      </c>
      <c r="AA58" s="480" t="s">
        <v>996</v>
      </c>
      <c r="AB58" s="561">
        <f t="shared" si="1"/>
        <v>44</v>
      </c>
      <c r="AC58" s="561">
        <f t="shared" si="2"/>
        <v>25</v>
      </c>
      <c r="AD58" s="624" t="str">
        <f>IF(AB58="","",VLOOKUP(AB58,trancheage[],2,TRUE))</f>
        <v>40 à 49 ans</v>
      </c>
      <c r="AE58" s="624" t="str">
        <f>IFERROR(VLOOKUP(AC58,trancheanciennete[],2,TRUE),"")</f>
        <v>6 : 25-29</v>
      </c>
      <c r="AF58" s="625" t="str">
        <f>IF(T58&gt;0,VLOOKUP(T58,Trancheremuneration[],2,TRUE),"")</f>
        <v>3:17 000-20 000</v>
      </c>
      <c r="AG58" s="623">
        <f t="shared" si="3"/>
        <v>16653.52478845045</v>
      </c>
      <c r="AH58" s="631" t="str">
        <f t="shared" si="4"/>
        <v>catégorie 1</v>
      </c>
      <c r="AI58" s="631"/>
    </row>
    <row r="59" spans="1:35" ht="14">
      <c r="A59" t="s">
        <v>664</v>
      </c>
      <c r="B59" s="471" t="s">
        <v>27</v>
      </c>
      <c r="C59" s="651">
        <v>26796</v>
      </c>
      <c r="D59" s="652">
        <v>34859</v>
      </c>
      <c r="E59" s="473" t="s">
        <v>501</v>
      </c>
      <c r="F59" s="1029" t="s">
        <v>51</v>
      </c>
      <c r="G59" s="472" t="s">
        <v>395</v>
      </c>
      <c r="H59" s="472" t="s">
        <v>393</v>
      </c>
      <c r="I59" s="474" t="s">
        <v>22</v>
      </c>
      <c r="J59" s="474" t="s">
        <v>28</v>
      </c>
      <c r="K59" s="475" t="s">
        <v>43</v>
      </c>
      <c r="L59" s="861" t="str">
        <f t="shared" si="0"/>
        <v>salarié</v>
      </c>
      <c r="M59" s="485" t="s">
        <v>42</v>
      </c>
      <c r="N59" s="485" t="s">
        <v>1</v>
      </c>
      <c r="O59" s="486">
        <v>1</v>
      </c>
      <c r="P59" s="481" t="s">
        <v>58</v>
      </c>
      <c r="Q59" s="482" t="s">
        <v>30</v>
      </c>
      <c r="R59" s="478">
        <v>0</v>
      </c>
      <c r="S59" s="479">
        <v>7</v>
      </c>
      <c r="T59" s="1">
        <v>20320</v>
      </c>
      <c r="U59" s="656">
        <v>25490.715815212352</v>
      </c>
      <c r="V59" s="479">
        <v>500</v>
      </c>
      <c r="W59" s="483">
        <v>0</v>
      </c>
      <c r="X59" s="476">
        <v>0</v>
      </c>
      <c r="Y59" s="476">
        <v>1</v>
      </c>
      <c r="Z59" s="476">
        <v>1</v>
      </c>
      <c r="AA59" s="480" t="s">
        <v>996</v>
      </c>
      <c r="AB59" s="561">
        <f t="shared" si="1"/>
        <v>47</v>
      </c>
      <c r="AC59" s="561">
        <f t="shared" si="2"/>
        <v>25</v>
      </c>
      <c r="AD59" s="624" t="str">
        <f>IF(AB59="","",VLOOKUP(AB59,trancheage[],2,TRUE))</f>
        <v>40 à 49 ans</v>
      </c>
      <c r="AE59" s="624" t="str">
        <f>IFERROR(VLOOKUP(AC59,trancheanciennete[],2,TRUE),"")</f>
        <v>6 : 25-29</v>
      </c>
      <c r="AF59" s="625" t="str">
        <f>IF(T59&gt;0,VLOOKUP(T59,Trancheremuneration[],2,TRUE),"")</f>
        <v>4: 20 000-23 000</v>
      </c>
      <c r="AG59" s="623">
        <f t="shared" si="3"/>
        <v>25990.715815212352</v>
      </c>
      <c r="AH59" s="631" t="str">
        <f t="shared" si="4"/>
        <v>catégorie 2</v>
      </c>
      <c r="AI59" s="631"/>
    </row>
    <row r="60" spans="1:35" ht="14">
      <c r="A60" t="s">
        <v>665</v>
      </c>
      <c r="B60" s="471" t="s">
        <v>27</v>
      </c>
      <c r="C60" s="651">
        <v>22527</v>
      </c>
      <c r="D60" s="652">
        <v>34978</v>
      </c>
      <c r="E60" s="473" t="s">
        <v>501</v>
      </c>
      <c r="F60" s="1029" t="s">
        <v>51</v>
      </c>
      <c r="G60" s="472" t="s">
        <v>395</v>
      </c>
      <c r="H60" s="472" t="s">
        <v>392</v>
      </c>
      <c r="I60" s="474" t="s">
        <v>22</v>
      </c>
      <c r="J60" s="474" t="s">
        <v>28</v>
      </c>
      <c r="K60" s="475" t="s">
        <v>43</v>
      </c>
      <c r="L60" s="861" t="str">
        <f t="shared" si="0"/>
        <v>salarié</v>
      </c>
      <c r="M60" s="485" t="s">
        <v>48</v>
      </c>
      <c r="N60" s="485" t="s">
        <v>1</v>
      </c>
      <c r="O60" s="486">
        <v>1</v>
      </c>
      <c r="P60" s="481" t="s">
        <v>59</v>
      </c>
      <c r="Q60" s="482" t="s">
        <v>33</v>
      </c>
      <c r="R60" s="478">
        <v>1</v>
      </c>
      <c r="S60" s="479">
        <v>7</v>
      </c>
      <c r="T60" s="1">
        <v>21760</v>
      </c>
      <c r="U60" s="656">
        <v>19351.693647972817</v>
      </c>
      <c r="V60" s="479">
        <v>250</v>
      </c>
      <c r="W60" s="483">
        <v>1</v>
      </c>
      <c r="X60" s="476">
        <v>0</v>
      </c>
      <c r="Y60" s="476">
        <v>1</v>
      </c>
      <c r="Z60" s="476">
        <v>0</v>
      </c>
      <c r="AA60" s="480" t="s">
        <v>996</v>
      </c>
      <c r="AB60" s="561">
        <f t="shared" si="1"/>
        <v>58</v>
      </c>
      <c r="AC60" s="561">
        <f t="shared" si="2"/>
        <v>24</v>
      </c>
      <c r="AD60" s="624" t="str">
        <f>IF(AB60="","",VLOOKUP(AB60,trancheage[],2,TRUE))</f>
        <v>50 ans et plus</v>
      </c>
      <c r="AE60" s="624" t="str">
        <f>IFERROR(VLOOKUP(AC60,trancheanciennete[],2,TRUE),"")</f>
        <v>6 : 25-29</v>
      </c>
      <c r="AF60" s="625" t="str">
        <f>IF(T60&gt;0,VLOOKUP(T60,Trancheremuneration[],2,TRUE),"")</f>
        <v>4: 20 000-23 000</v>
      </c>
      <c r="AG60" s="623">
        <f t="shared" si="3"/>
        <v>19601.693647972817</v>
      </c>
      <c r="AH60" s="631" t="str">
        <f t="shared" si="4"/>
        <v>catégorie 1</v>
      </c>
      <c r="AI60" s="631"/>
    </row>
    <row r="61" spans="1:35" ht="14">
      <c r="A61" t="s">
        <v>666</v>
      </c>
      <c r="B61" s="471" t="s">
        <v>27</v>
      </c>
      <c r="C61" s="651">
        <v>24000</v>
      </c>
      <c r="D61" s="652">
        <v>35058</v>
      </c>
      <c r="E61" s="473" t="s">
        <v>502</v>
      </c>
      <c r="F61" s="1029" t="s">
        <v>50</v>
      </c>
      <c r="G61" s="472" t="s">
        <v>395</v>
      </c>
      <c r="H61" s="472" t="s">
        <v>392</v>
      </c>
      <c r="I61" s="474" t="s">
        <v>22</v>
      </c>
      <c r="J61" s="474" t="s">
        <v>28</v>
      </c>
      <c r="K61" s="475" t="s">
        <v>56</v>
      </c>
      <c r="L61" s="861" t="str">
        <f t="shared" si="0"/>
        <v>salarié</v>
      </c>
      <c r="M61" s="485" t="s">
        <v>48</v>
      </c>
      <c r="N61" s="485" t="s">
        <v>1</v>
      </c>
      <c r="O61" s="486">
        <v>1</v>
      </c>
      <c r="P61" s="481" t="s">
        <v>58</v>
      </c>
      <c r="Q61" s="482" t="s">
        <v>33</v>
      </c>
      <c r="R61" s="478">
        <v>1</v>
      </c>
      <c r="S61" s="479">
        <v>28</v>
      </c>
      <c r="T61" s="1">
        <v>24280</v>
      </c>
      <c r="U61" s="656">
        <v>40705.97371992001</v>
      </c>
      <c r="V61" s="479">
        <v>250</v>
      </c>
      <c r="W61" s="483">
        <v>1</v>
      </c>
      <c r="X61" s="476">
        <v>0</v>
      </c>
      <c r="Y61" s="476">
        <v>1</v>
      </c>
      <c r="Z61" s="476">
        <v>0</v>
      </c>
      <c r="AA61" s="480" t="s">
        <v>996</v>
      </c>
      <c r="AB61" s="561">
        <f t="shared" si="1"/>
        <v>54</v>
      </c>
      <c r="AC61" s="561">
        <f t="shared" si="2"/>
        <v>24</v>
      </c>
      <c r="AD61" s="624" t="str">
        <f>IF(AB61="","",VLOOKUP(AB61,trancheage[],2,TRUE))</f>
        <v>50 ans et plus</v>
      </c>
      <c r="AE61" s="624" t="str">
        <f>IFERROR(VLOOKUP(AC61,trancheanciennete[],2,TRUE),"")</f>
        <v>6 : 25-29</v>
      </c>
      <c r="AF61" s="625" t="str">
        <f>IF(T61&gt;0,VLOOKUP(T61,Trancheremuneration[],2,TRUE),"")</f>
        <v>5 : + de 23 000</v>
      </c>
      <c r="AG61" s="623">
        <f t="shared" si="3"/>
        <v>40955.97371992001</v>
      </c>
      <c r="AH61" s="631" t="str">
        <f t="shared" si="4"/>
        <v>catégorie 1</v>
      </c>
      <c r="AI61" s="631"/>
    </row>
    <row r="62" spans="1:35" ht="14">
      <c r="A62" t="s">
        <v>667</v>
      </c>
      <c r="B62" s="471" t="s">
        <v>27</v>
      </c>
      <c r="C62" s="651">
        <v>29265</v>
      </c>
      <c r="D62" s="652">
        <v>35311</v>
      </c>
      <c r="E62" s="473" t="s">
        <v>505</v>
      </c>
      <c r="F62" s="1029" t="s">
        <v>50</v>
      </c>
      <c r="G62" s="472" t="s">
        <v>396</v>
      </c>
      <c r="H62" s="472" t="s">
        <v>392</v>
      </c>
      <c r="I62" s="474" t="s">
        <v>22</v>
      </c>
      <c r="J62" s="474" t="s">
        <v>28</v>
      </c>
      <c r="K62" s="475" t="s">
        <v>35</v>
      </c>
      <c r="L62" s="861" t="str">
        <f t="shared" si="0"/>
        <v>salarié</v>
      </c>
      <c r="M62" s="485" t="s">
        <v>48</v>
      </c>
      <c r="N62" s="485" t="s">
        <v>1</v>
      </c>
      <c r="O62" s="486">
        <v>1</v>
      </c>
      <c r="P62" s="481" t="s">
        <v>58</v>
      </c>
      <c r="Q62" s="482" t="s">
        <v>33</v>
      </c>
      <c r="R62" s="478">
        <v>1</v>
      </c>
      <c r="S62" s="479">
        <v>14</v>
      </c>
      <c r="T62" s="1">
        <v>36400</v>
      </c>
      <c r="U62" s="656">
        <v>21482.696396953514</v>
      </c>
      <c r="V62" s="479">
        <v>250</v>
      </c>
      <c r="W62" s="483">
        <v>1</v>
      </c>
      <c r="X62" s="476">
        <v>0</v>
      </c>
      <c r="Y62" s="476">
        <v>0</v>
      </c>
      <c r="Z62" s="476">
        <v>0</v>
      </c>
      <c r="AA62" s="480" t="s">
        <v>996</v>
      </c>
      <c r="AB62" s="561">
        <f t="shared" si="1"/>
        <v>40</v>
      </c>
      <c r="AC62" s="561">
        <f t="shared" si="2"/>
        <v>23</v>
      </c>
      <c r="AD62" s="624" t="str">
        <f>IF(AB62="","",VLOOKUP(AB62,trancheage[],2,TRUE))</f>
        <v>40 à 49 ans</v>
      </c>
      <c r="AE62" s="624" t="str">
        <f>IFERROR(VLOOKUP(AC62,trancheanciennete[],2,TRUE),"")</f>
        <v>5 : 20-24</v>
      </c>
      <c r="AF62" s="625" t="str">
        <f>IF(T62&gt;0,VLOOKUP(T62,Trancheremuneration[],2,TRUE),"")</f>
        <v>5 : + de 23 000</v>
      </c>
      <c r="AG62" s="623">
        <f t="shared" si="3"/>
        <v>21732.696396953514</v>
      </c>
      <c r="AH62" s="631" t="str">
        <f t="shared" si="4"/>
        <v>catégorie 1</v>
      </c>
      <c r="AI62" s="631"/>
    </row>
    <row r="63" spans="1:35" ht="14">
      <c r="A63" t="s">
        <v>668</v>
      </c>
      <c r="B63" s="471" t="s">
        <v>27</v>
      </c>
      <c r="C63" s="651">
        <v>28495</v>
      </c>
      <c r="D63" s="652">
        <v>35333</v>
      </c>
      <c r="E63" s="473" t="s">
        <v>501</v>
      </c>
      <c r="F63" s="1029" t="s">
        <v>3</v>
      </c>
      <c r="G63" s="472" t="s">
        <v>397</v>
      </c>
      <c r="H63" s="472" t="s">
        <v>392</v>
      </c>
      <c r="I63" s="474" t="s">
        <v>22</v>
      </c>
      <c r="J63" s="474" t="s">
        <v>28</v>
      </c>
      <c r="K63" s="475" t="s">
        <v>43</v>
      </c>
      <c r="L63" s="861" t="str">
        <f t="shared" si="0"/>
        <v>salarié</v>
      </c>
      <c r="M63" s="485" t="s">
        <v>48</v>
      </c>
      <c r="N63" s="485" t="s">
        <v>1</v>
      </c>
      <c r="O63" s="486">
        <v>1</v>
      </c>
      <c r="P63" s="481" t="s">
        <v>58</v>
      </c>
      <c r="Q63" s="482" t="s">
        <v>31</v>
      </c>
      <c r="R63" s="478">
        <v>0</v>
      </c>
      <c r="S63" s="479">
        <v>7</v>
      </c>
      <c r="T63" s="1">
        <v>19600</v>
      </c>
      <c r="U63" s="656">
        <v>55231.13249129249</v>
      </c>
      <c r="V63" s="479">
        <v>500</v>
      </c>
      <c r="W63" s="483">
        <v>0</v>
      </c>
      <c r="X63" s="476">
        <v>1</v>
      </c>
      <c r="Y63" s="476">
        <v>0</v>
      </c>
      <c r="Z63" s="476">
        <v>0</v>
      </c>
      <c r="AA63" s="480" t="s">
        <v>996</v>
      </c>
      <c r="AB63" s="561">
        <f t="shared" si="1"/>
        <v>42</v>
      </c>
      <c r="AC63" s="561">
        <f t="shared" si="2"/>
        <v>23</v>
      </c>
      <c r="AD63" s="624" t="str">
        <f>IF(AB63="","",VLOOKUP(AB63,trancheage[],2,TRUE))</f>
        <v>40 à 49 ans</v>
      </c>
      <c r="AE63" s="624" t="str">
        <f>IFERROR(VLOOKUP(AC63,trancheanciennete[],2,TRUE),"")</f>
        <v>5 : 20-24</v>
      </c>
      <c r="AF63" s="625" t="str">
        <f>IF(T63&gt;0,VLOOKUP(T63,Trancheremuneration[],2,TRUE),"")</f>
        <v>3:17 000-20 000</v>
      </c>
      <c r="AG63" s="623">
        <f t="shared" si="3"/>
        <v>55731.13249129249</v>
      </c>
      <c r="AH63" s="631" t="str">
        <f t="shared" si="4"/>
        <v>catégorie 1</v>
      </c>
      <c r="AI63" s="631"/>
    </row>
    <row r="64" spans="1:35" ht="14">
      <c r="A64" t="s">
        <v>669</v>
      </c>
      <c r="B64" s="471" t="s">
        <v>27</v>
      </c>
      <c r="C64" s="651">
        <v>29800</v>
      </c>
      <c r="D64" s="652">
        <v>35423</v>
      </c>
      <c r="E64" s="473" t="s">
        <v>501</v>
      </c>
      <c r="F64" s="1029" t="s">
        <v>3</v>
      </c>
      <c r="G64" s="472" t="s">
        <v>398</v>
      </c>
      <c r="H64" s="472" t="s">
        <v>394</v>
      </c>
      <c r="I64" s="474" t="s">
        <v>22</v>
      </c>
      <c r="J64" s="474" t="s">
        <v>29</v>
      </c>
      <c r="K64" s="475" t="s">
        <v>43</v>
      </c>
      <c r="L64" s="861" t="str">
        <f t="shared" si="0"/>
        <v>salarié</v>
      </c>
      <c r="M64" s="485" t="s">
        <v>48</v>
      </c>
      <c r="N64" s="485" t="s">
        <v>1</v>
      </c>
      <c r="O64" s="486">
        <v>1</v>
      </c>
      <c r="P64" s="481" t="s">
        <v>58</v>
      </c>
      <c r="Q64" s="482" t="s">
        <v>31</v>
      </c>
      <c r="R64" s="478">
        <v>1</v>
      </c>
      <c r="S64" s="479">
        <v>0</v>
      </c>
      <c r="T64" s="1">
        <v>49840</v>
      </c>
      <c r="U64" s="656">
        <v>28565.104428200088</v>
      </c>
      <c r="V64" s="479">
        <v>500</v>
      </c>
      <c r="W64" s="483">
        <v>1</v>
      </c>
      <c r="X64" s="476">
        <v>1</v>
      </c>
      <c r="Y64" s="476">
        <v>0</v>
      </c>
      <c r="Z64" s="476">
        <v>0</v>
      </c>
      <c r="AA64" s="480" t="s">
        <v>996</v>
      </c>
      <c r="AB64" s="561">
        <f t="shared" si="1"/>
        <v>39</v>
      </c>
      <c r="AC64" s="561">
        <f t="shared" si="2"/>
        <v>23</v>
      </c>
      <c r="AD64" s="624" t="str">
        <f>IF(AB64="","",VLOOKUP(AB64,trancheage[],2,TRUE))</f>
        <v>40 à 49 ans</v>
      </c>
      <c r="AE64" s="624" t="str">
        <f>IFERROR(VLOOKUP(AC64,trancheanciennete[],2,TRUE),"")</f>
        <v>5 : 20-24</v>
      </c>
      <c r="AF64" s="625" t="str">
        <f>IF(T64&gt;0,VLOOKUP(T64,Trancheremuneration[],2,TRUE),"")</f>
        <v>5 : + de 23 000</v>
      </c>
      <c r="AG64" s="623">
        <f t="shared" si="3"/>
        <v>29065.104428200088</v>
      </c>
      <c r="AH64" s="631" t="str">
        <f t="shared" si="4"/>
        <v>catégorie 3</v>
      </c>
      <c r="AI64" s="631"/>
    </row>
    <row r="65" spans="1:35" ht="14">
      <c r="A65" t="s">
        <v>565</v>
      </c>
      <c r="B65" s="471" t="s">
        <v>47</v>
      </c>
      <c r="C65" s="651">
        <v>27759</v>
      </c>
      <c r="D65" s="652">
        <v>35539</v>
      </c>
      <c r="E65" s="473" t="s">
        <v>501</v>
      </c>
      <c r="F65" s="1029" t="s">
        <v>3</v>
      </c>
      <c r="G65" s="472" t="s">
        <v>399</v>
      </c>
      <c r="H65" s="472" t="s">
        <v>392</v>
      </c>
      <c r="I65" s="474" t="s">
        <v>22</v>
      </c>
      <c r="J65" s="474" t="s">
        <v>29</v>
      </c>
      <c r="K65" s="475" t="s">
        <v>43</v>
      </c>
      <c r="L65" s="861" t="str">
        <f t="shared" si="0"/>
        <v>salarié</v>
      </c>
      <c r="M65" s="485" t="s">
        <v>48</v>
      </c>
      <c r="N65" s="485" t="s">
        <v>0</v>
      </c>
      <c r="O65" s="486">
        <v>0.8</v>
      </c>
      <c r="P65" s="481" t="s">
        <v>59</v>
      </c>
      <c r="Q65" s="482" t="s">
        <v>32</v>
      </c>
      <c r="R65" s="478">
        <v>0</v>
      </c>
      <c r="S65" s="479">
        <v>0</v>
      </c>
      <c r="T65" s="1">
        <v>25000</v>
      </c>
      <c r="U65" s="656">
        <v>22153.990747239281</v>
      </c>
      <c r="V65" s="479">
        <v>250</v>
      </c>
      <c r="W65" s="483">
        <v>0</v>
      </c>
      <c r="X65" s="476">
        <v>0</v>
      </c>
      <c r="Y65" s="476">
        <v>0</v>
      </c>
      <c r="Z65" s="476">
        <v>0</v>
      </c>
      <c r="AA65" s="480" t="s">
        <v>996</v>
      </c>
      <c r="AB65" s="561">
        <f t="shared" si="1"/>
        <v>44</v>
      </c>
      <c r="AC65" s="561">
        <f t="shared" si="2"/>
        <v>23</v>
      </c>
      <c r="AD65" s="624" t="str">
        <f>IF(AB65="","",VLOOKUP(AB65,trancheage[],2,TRUE))</f>
        <v>40 à 49 ans</v>
      </c>
      <c r="AE65" s="624" t="str">
        <f>IFERROR(VLOOKUP(AC65,trancheanciennete[],2,TRUE),"")</f>
        <v>5 : 20-24</v>
      </c>
      <c r="AF65" s="625" t="str">
        <f>IF(T65&gt;0,VLOOKUP(T65,Trancheremuneration[],2,TRUE),"")</f>
        <v>5 : + de 23 000</v>
      </c>
      <c r="AG65" s="623">
        <f t="shared" si="3"/>
        <v>26834.788896687136</v>
      </c>
      <c r="AH65" s="631" t="str">
        <f t="shared" si="4"/>
        <v>catégorie 1</v>
      </c>
      <c r="AI65" s="631"/>
    </row>
    <row r="66" spans="1:35" ht="14">
      <c r="A66" t="s">
        <v>566</v>
      </c>
      <c r="B66" s="471" t="s">
        <v>27</v>
      </c>
      <c r="C66" s="651">
        <v>23698</v>
      </c>
      <c r="D66" s="652">
        <v>35654</v>
      </c>
      <c r="E66" s="473" t="s">
        <v>501</v>
      </c>
      <c r="F66" s="1029" t="s">
        <v>3</v>
      </c>
      <c r="G66" s="472" t="s">
        <v>395</v>
      </c>
      <c r="H66" s="472" t="s">
        <v>392</v>
      </c>
      <c r="I66" s="474" t="s">
        <v>22</v>
      </c>
      <c r="J66" s="474" t="s">
        <v>29</v>
      </c>
      <c r="K66" s="475" t="s">
        <v>43</v>
      </c>
      <c r="L66" s="861" t="str">
        <f t="shared" si="0"/>
        <v>salarié</v>
      </c>
      <c r="M66" s="485" t="s">
        <v>48</v>
      </c>
      <c r="N66" s="485" t="s">
        <v>0</v>
      </c>
      <c r="O66" s="486">
        <v>0.8</v>
      </c>
      <c r="P66" s="481" t="s">
        <v>59</v>
      </c>
      <c r="Q66" s="482" t="s">
        <v>32</v>
      </c>
      <c r="R66" s="478">
        <v>0</v>
      </c>
      <c r="S66" s="479">
        <v>0</v>
      </c>
      <c r="T66" s="1">
        <v>22720</v>
      </c>
      <c r="U66" s="656">
        <v>29615.722811342021</v>
      </c>
      <c r="V66" s="479">
        <v>250</v>
      </c>
      <c r="W66" s="483">
        <v>0</v>
      </c>
      <c r="X66" s="476">
        <v>1</v>
      </c>
      <c r="Y66" s="476">
        <v>0</v>
      </c>
      <c r="Z66" s="476">
        <v>0</v>
      </c>
      <c r="AA66" s="480" t="s">
        <v>996</v>
      </c>
      <c r="AB66" s="561">
        <f t="shared" si="1"/>
        <v>55</v>
      </c>
      <c r="AC66" s="561">
        <f t="shared" si="2"/>
        <v>23</v>
      </c>
      <c r="AD66" s="624" t="str">
        <f>IF(AB66="","",VLOOKUP(AB66,trancheage[],2,TRUE))</f>
        <v>50 ans et plus</v>
      </c>
      <c r="AE66" s="624" t="str">
        <f>IFERROR(VLOOKUP(AC66,trancheanciennete[],2,TRUE),"")</f>
        <v>5 : 20-24</v>
      </c>
      <c r="AF66" s="625" t="str">
        <f>IF(T66&gt;0,VLOOKUP(T66,Trancheremuneration[],2,TRUE),"")</f>
        <v>4: 20 000-23 000</v>
      </c>
      <c r="AG66" s="623">
        <f t="shared" si="3"/>
        <v>35788.867373610425</v>
      </c>
      <c r="AH66" s="631" t="str">
        <f t="shared" si="4"/>
        <v>catégorie 1</v>
      </c>
      <c r="AI66" s="631"/>
    </row>
    <row r="67" spans="1:35" ht="14">
      <c r="A67" t="s">
        <v>670</v>
      </c>
      <c r="B67" s="471" t="s">
        <v>47</v>
      </c>
      <c r="C67" s="651">
        <v>28878</v>
      </c>
      <c r="D67" s="652">
        <v>35771</v>
      </c>
      <c r="E67" s="473" t="s">
        <v>505</v>
      </c>
      <c r="F67" s="1029" t="s">
        <v>50</v>
      </c>
      <c r="G67" s="472" t="s">
        <v>395</v>
      </c>
      <c r="H67" s="472" t="s">
        <v>392</v>
      </c>
      <c r="I67" s="474" t="s">
        <v>23</v>
      </c>
      <c r="J67" s="474" t="s">
        <v>18</v>
      </c>
      <c r="K67" s="475" t="s">
        <v>304</v>
      </c>
      <c r="L67" s="861" t="str">
        <f t="shared" si="0"/>
        <v>salarié</v>
      </c>
      <c r="M67" s="485" t="s">
        <v>48</v>
      </c>
      <c r="N67" s="485" t="s">
        <v>1</v>
      </c>
      <c r="O67" s="486">
        <v>1</v>
      </c>
      <c r="P67" s="481" t="s">
        <v>59</v>
      </c>
      <c r="Q67" s="482" t="s">
        <v>30</v>
      </c>
      <c r="R67" s="478">
        <v>0</v>
      </c>
      <c r="S67" s="479">
        <v>14</v>
      </c>
      <c r="T67" s="1">
        <v>34720</v>
      </c>
      <c r="U67" s="656">
        <v>63297.413159511823</v>
      </c>
      <c r="V67" s="479">
        <v>250</v>
      </c>
      <c r="W67" s="483">
        <v>0</v>
      </c>
      <c r="X67" s="476">
        <v>0</v>
      </c>
      <c r="Y67" s="476">
        <v>1</v>
      </c>
      <c r="Z67" s="476">
        <v>0</v>
      </c>
      <c r="AA67" s="480" t="s">
        <v>996</v>
      </c>
      <c r="AB67" s="561">
        <f t="shared" si="1"/>
        <v>41</v>
      </c>
      <c r="AC67" s="561">
        <f t="shared" si="2"/>
        <v>22</v>
      </c>
      <c r="AD67" s="624" t="str">
        <f>IF(AB67="","",VLOOKUP(AB67,trancheage[],2,TRUE))</f>
        <v>40 à 49 ans</v>
      </c>
      <c r="AE67" s="624" t="str">
        <f>IFERROR(VLOOKUP(AC67,trancheanciennete[],2,TRUE),"")</f>
        <v>5 : 20-24</v>
      </c>
      <c r="AF67" s="625" t="str">
        <f>IF(T67&gt;0,VLOOKUP(T67,Trancheremuneration[],2,TRUE),"")</f>
        <v>5 : + de 23 000</v>
      </c>
      <c r="AG67" s="623">
        <f t="shared" si="3"/>
        <v>63547.413159511823</v>
      </c>
      <c r="AH67" s="631" t="str">
        <f t="shared" si="4"/>
        <v>catégorie 1</v>
      </c>
      <c r="AI67" s="631"/>
    </row>
    <row r="68" spans="1:35" ht="14">
      <c r="A68" t="s">
        <v>671</v>
      </c>
      <c r="B68" s="471" t="s">
        <v>27</v>
      </c>
      <c r="C68" s="651">
        <v>22609</v>
      </c>
      <c r="D68" s="652">
        <v>35794</v>
      </c>
      <c r="E68" s="473" t="s">
        <v>503</v>
      </c>
      <c r="F68" s="1029" t="s">
        <v>50</v>
      </c>
      <c r="G68" s="472" t="s">
        <v>396</v>
      </c>
      <c r="H68" s="472" t="s">
        <v>392</v>
      </c>
      <c r="I68" s="474" t="s">
        <v>22</v>
      </c>
      <c r="J68" s="474" t="s">
        <v>29</v>
      </c>
      <c r="K68" s="475" t="s">
        <v>301</v>
      </c>
      <c r="L68" s="861" t="str">
        <f t="shared" si="0"/>
        <v>salarié</v>
      </c>
      <c r="M68" s="485" t="s">
        <v>48</v>
      </c>
      <c r="N68" s="485" t="s">
        <v>0</v>
      </c>
      <c r="O68" s="486">
        <v>0.8</v>
      </c>
      <c r="P68" s="481" t="s">
        <v>59</v>
      </c>
      <c r="Q68" s="482" t="s">
        <v>30</v>
      </c>
      <c r="R68" s="478">
        <v>0</v>
      </c>
      <c r="S68" s="479">
        <v>14</v>
      </c>
      <c r="T68" s="1">
        <v>61000</v>
      </c>
      <c r="U68" s="656">
        <v>34396.47936039092</v>
      </c>
      <c r="V68" s="479">
        <v>250</v>
      </c>
      <c r="W68" s="483">
        <v>0</v>
      </c>
      <c r="X68" s="476">
        <v>0</v>
      </c>
      <c r="Y68" s="476">
        <v>0</v>
      </c>
      <c r="Z68" s="476">
        <v>0</v>
      </c>
      <c r="AA68" s="480" t="s">
        <v>996</v>
      </c>
      <c r="AB68" s="561">
        <f t="shared" si="1"/>
        <v>58</v>
      </c>
      <c r="AC68" s="561">
        <f t="shared" si="2"/>
        <v>22</v>
      </c>
      <c r="AD68" s="624" t="str">
        <f>IF(AB68="","",VLOOKUP(AB68,trancheage[],2,TRUE))</f>
        <v>50 ans et plus</v>
      </c>
      <c r="AE68" s="624" t="str">
        <f>IFERROR(VLOOKUP(AC68,trancheanciennete[],2,TRUE),"")</f>
        <v>5 : 20-24</v>
      </c>
      <c r="AF68" s="625" t="str">
        <f>IF(T68&gt;0,VLOOKUP(T68,Trancheremuneration[],2,TRUE),"")</f>
        <v>5 : + de 23 000</v>
      </c>
      <c r="AG68" s="623">
        <f t="shared" si="3"/>
        <v>41525.775232469103</v>
      </c>
      <c r="AH68" s="631" t="str">
        <f t="shared" si="4"/>
        <v>catégorie 1</v>
      </c>
      <c r="AI68" s="631"/>
    </row>
    <row r="69" spans="1:35" ht="14" customHeight="1">
      <c r="A69" t="s">
        <v>567</v>
      </c>
      <c r="B69" s="471" t="s">
        <v>27</v>
      </c>
      <c r="C69" s="651">
        <v>29113</v>
      </c>
      <c r="D69" s="652">
        <v>35830</v>
      </c>
      <c r="E69" s="473" t="s">
        <v>501</v>
      </c>
      <c r="F69" s="1029" t="s">
        <v>3</v>
      </c>
      <c r="G69" s="472" t="s">
        <v>395</v>
      </c>
      <c r="H69" s="472" t="s">
        <v>393</v>
      </c>
      <c r="I69" s="474" t="s">
        <v>22</v>
      </c>
      <c r="J69" s="474" t="s">
        <v>29</v>
      </c>
      <c r="K69" s="475" t="s">
        <v>43</v>
      </c>
      <c r="L69" s="861" t="str">
        <f t="shared" si="0"/>
        <v>salarié</v>
      </c>
      <c r="M69" s="485" t="s">
        <v>48</v>
      </c>
      <c r="N69" s="485" t="s">
        <v>0</v>
      </c>
      <c r="O69" s="486">
        <v>0.5</v>
      </c>
      <c r="P69" s="481" t="s">
        <v>59</v>
      </c>
      <c r="Q69" s="482" t="s">
        <v>31</v>
      </c>
      <c r="R69" s="478">
        <v>0</v>
      </c>
      <c r="S69" s="479">
        <v>0</v>
      </c>
      <c r="T69" s="1">
        <v>28600</v>
      </c>
      <c r="U69" s="656">
        <v>31455.664534208503</v>
      </c>
      <c r="V69" s="479">
        <v>250</v>
      </c>
      <c r="W69" s="483">
        <v>0</v>
      </c>
      <c r="X69" s="476">
        <v>1</v>
      </c>
      <c r="Y69" s="476">
        <v>0</v>
      </c>
      <c r="Z69" s="476">
        <v>0</v>
      </c>
      <c r="AA69" s="480" t="s">
        <v>996</v>
      </c>
      <c r="AB69" s="561">
        <f t="shared" si="1"/>
        <v>40</v>
      </c>
      <c r="AC69" s="561">
        <f t="shared" si="2"/>
        <v>22</v>
      </c>
      <c r="AD69" s="624" t="str">
        <f>IF(AB69="","",VLOOKUP(AB69,trancheage[],2,TRUE))</f>
        <v>40 à 49 ans</v>
      </c>
      <c r="AE69" s="624" t="str">
        <f>IFERROR(VLOOKUP(AC69,trancheanciennete[],2,TRUE),"")</f>
        <v>5 : 20-24</v>
      </c>
      <c r="AF69" s="625" t="str">
        <f>IF(T69&gt;0,VLOOKUP(T69,Trancheremuneration[],2,TRUE),"")</f>
        <v>5 : + de 23 000</v>
      </c>
      <c r="AG69" s="623">
        <f t="shared" si="3"/>
        <v>47433.496801312751</v>
      </c>
      <c r="AH69" s="631" t="str">
        <f t="shared" si="4"/>
        <v>catégorie 2</v>
      </c>
      <c r="AI69" s="631"/>
    </row>
    <row r="70" spans="1:35" ht="14">
      <c r="A70" t="s">
        <v>672</v>
      </c>
      <c r="B70" s="471" t="s">
        <v>27</v>
      </c>
      <c r="C70" s="651">
        <v>28425</v>
      </c>
      <c r="D70" s="652">
        <v>35862</v>
      </c>
      <c r="E70" s="473" t="s">
        <v>501</v>
      </c>
      <c r="F70" s="1029" t="s">
        <v>3</v>
      </c>
      <c r="G70" s="472" t="s">
        <v>397</v>
      </c>
      <c r="H70" s="472" t="s">
        <v>394</v>
      </c>
      <c r="I70" s="474" t="s">
        <v>22</v>
      </c>
      <c r="J70" s="474" t="s">
        <v>29</v>
      </c>
      <c r="K70" s="475" t="s">
        <v>43</v>
      </c>
      <c r="L70" s="861" t="str">
        <f t="shared" si="0"/>
        <v>salarié</v>
      </c>
      <c r="M70" s="485" t="s">
        <v>42</v>
      </c>
      <c r="N70" s="485" t="s">
        <v>1</v>
      </c>
      <c r="O70" s="486">
        <v>1</v>
      </c>
      <c r="P70" s="481" t="s">
        <v>59</v>
      </c>
      <c r="Q70" s="482" t="s">
        <v>31</v>
      </c>
      <c r="R70" s="478">
        <v>0</v>
      </c>
      <c r="S70" s="479">
        <v>0</v>
      </c>
      <c r="T70" s="1">
        <v>37840</v>
      </c>
      <c r="U70" s="656">
        <v>25871.461468719062</v>
      </c>
      <c r="V70" s="479">
        <v>100</v>
      </c>
      <c r="W70" s="483">
        <v>0</v>
      </c>
      <c r="X70" s="476">
        <v>1</v>
      </c>
      <c r="Y70" s="476">
        <v>0</v>
      </c>
      <c r="Z70" s="476">
        <v>0</v>
      </c>
      <c r="AA70" s="480" t="s">
        <v>996</v>
      </c>
      <c r="AB70" s="561">
        <f t="shared" si="1"/>
        <v>42</v>
      </c>
      <c r="AC70" s="561">
        <f t="shared" si="2"/>
        <v>22</v>
      </c>
      <c r="AD70" s="624" t="str">
        <f>IF(AB70="","",VLOOKUP(AB70,trancheage[],2,TRUE))</f>
        <v>40 à 49 ans</v>
      </c>
      <c r="AE70" s="624" t="str">
        <f>IFERROR(VLOOKUP(AC70,trancheanciennete[],2,TRUE),"")</f>
        <v>5 : 20-24</v>
      </c>
      <c r="AF70" s="625" t="str">
        <f>IF(T70&gt;0,VLOOKUP(T70,Trancheremuneration[],2,TRUE),"")</f>
        <v>5 : + de 23 000</v>
      </c>
      <c r="AG70" s="623">
        <f t="shared" si="3"/>
        <v>25971.461468719062</v>
      </c>
      <c r="AH70" s="631" t="str">
        <f t="shared" si="4"/>
        <v>catégorie 3</v>
      </c>
      <c r="AI70" s="631"/>
    </row>
    <row r="71" spans="1:35" ht="14">
      <c r="A71" t="s">
        <v>673</v>
      </c>
      <c r="B71" s="471" t="s">
        <v>27</v>
      </c>
      <c r="C71" s="651">
        <v>30384</v>
      </c>
      <c r="D71" s="652">
        <v>35865</v>
      </c>
      <c r="E71" s="473" t="s">
        <v>504</v>
      </c>
      <c r="F71" s="1029" t="s">
        <v>50</v>
      </c>
      <c r="G71" s="472" t="s">
        <v>398</v>
      </c>
      <c r="H71" s="472" t="s">
        <v>393</v>
      </c>
      <c r="I71" s="474" t="s">
        <v>23</v>
      </c>
      <c r="J71" s="474" t="s">
        <v>18</v>
      </c>
      <c r="K71" s="475" t="s">
        <v>36</v>
      </c>
      <c r="L71" s="861" t="str">
        <f t="shared" si="0"/>
        <v>salarié</v>
      </c>
      <c r="M71" s="485" t="s">
        <v>48</v>
      </c>
      <c r="N71" s="485" t="s">
        <v>0</v>
      </c>
      <c r="O71" s="486">
        <v>0.8</v>
      </c>
      <c r="P71" s="481" t="s">
        <v>59</v>
      </c>
      <c r="Q71" s="482" t="s">
        <v>30</v>
      </c>
      <c r="R71" s="478">
        <v>1</v>
      </c>
      <c r="S71" s="479">
        <v>21</v>
      </c>
      <c r="T71" s="1">
        <v>23440</v>
      </c>
      <c r="U71" s="656">
        <v>35783.501524842031</v>
      </c>
      <c r="V71" s="479">
        <v>250</v>
      </c>
      <c r="W71" s="483">
        <v>1</v>
      </c>
      <c r="X71" s="476">
        <v>0</v>
      </c>
      <c r="Y71" s="476">
        <v>0</v>
      </c>
      <c r="Z71" s="476">
        <v>0</v>
      </c>
      <c r="AA71" s="480" t="s">
        <v>996</v>
      </c>
      <c r="AB71" s="561">
        <f t="shared" si="1"/>
        <v>37</v>
      </c>
      <c r="AC71" s="561">
        <f t="shared" si="2"/>
        <v>22</v>
      </c>
      <c r="AD71" s="624" t="str">
        <f>IF(AB71="","",VLOOKUP(AB71,trancheage[],2,TRUE))</f>
        <v>30 à 39 ans</v>
      </c>
      <c r="AE71" s="624" t="str">
        <f>IFERROR(VLOOKUP(AC71,trancheanciennete[],2,TRUE),"")</f>
        <v>5 : 20-24</v>
      </c>
      <c r="AF71" s="625" t="str">
        <f>IF(T71&gt;0,VLOOKUP(T71,Trancheremuneration[],2,TRUE),"")</f>
        <v>5 : + de 23 000</v>
      </c>
      <c r="AG71" s="623">
        <f t="shared" si="3"/>
        <v>43190.201829810438</v>
      </c>
      <c r="AH71" s="631" t="str">
        <f t="shared" si="4"/>
        <v>catégorie 2</v>
      </c>
      <c r="AI71" s="631"/>
    </row>
    <row r="72" spans="1:35" ht="14">
      <c r="A72" t="s">
        <v>568</v>
      </c>
      <c r="B72" s="471" t="s">
        <v>47</v>
      </c>
      <c r="C72" s="651">
        <v>21806</v>
      </c>
      <c r="D72" s="652">
        <v>35898</v>
      </c>
      <c r="E72" s="473" t="s">
        <v>501</v>
      </c>
      <c r="F72" s="1029" t="s">
        <v>3</v>
      </c>
      <c r="G72" s="472" t="s">
        <v>399</v>
      </c>
      <c r="H72" s="472" t="s">
        <v>394</v>
      </c>
      <c r="I72" s="474" t="s">
        <v>22</v>
      </c>
      <c r="J72" s="474" t="s">
        <v>29</v>
      </c>
      <c r="K72" s="475" t="s">
        <v>43</v>
      </c>
      <c r="L72" s="861" t="str">
        <f t="shared" si="0"/>
        <v>salarié</v>
      </c>
      <c r="M72" s="485" t="s">
        <v>40</v>
      </c>
      <c r="N72" s="485" t="s">
        <v>0</v>
      </c>
      <c r="O72" s="486">
        <v>0.8</v>
      </c>
      <c r="P72" s="481" t="s">
        <v>59</v>
      </c>
      <c r="Q72" s="482" t="s">
        <v>32</v>
      </c>
      <c r="R72" s="478">
        <v>0</v>
      </c>
      <c r="S72" s="479">
        <v>0</v>
      </c>
      <c r="T72" s="1">
        <v>37240</v>
      </c>
      <c r="U72" s="656">
        <v>47150.209801328267</v>
      </c>
      <c r="V72" s="479">
        <v>100</v>
      </c>
      <c r="W72" s="483">
        <v>0</v>
      </c>
      <c r="X72" s="476">
        <v>1</v>
      </c>
      <c r="Y72" s="476">
        <v>0</v>
      </c>
      <c r="Z72" s="476">
        <v>0</v>
      </c>
      <c r="AA72" s="480" t="s">
        <v>996</v>
      </c>
      <c r="AB72" s="561">
        <f t="shared" si="1"/>
        <v>60</v>
      </c>
      <c r="AC72" s="561">
        <f t="shared" si="2"/>
        <v>22</v>
      </c>
      <c r="AD72" s="624" t="str">
        <f>IF(AB72="","",VLOOKUP(AB72,trancheage[],2,TRUE))</f>
        <v>50 ans et plus</v>
      </c>
      <c r="AE72" s="624" t="str">
        <f>IFERROR(VLOOKUP(AC72,trancheanciennete[],2,TRUE),"")</f>
        <v>5 : 20-24</v>
      </c>
      <c r="AF72" s="625" t="str">
        <f>IF(T72&gt;0,VLOOKUP(T72,Trancheremuneration[],2,TRUE),"")</f>
        <v>5 : + de 23 000</v>
      </c>
      <c r="AG72" s="623">
        <f t="shared" si="3"/>
        <v>56680.251761593921</v>
      </c>
      <c r="AH72" s="631" t="str">
        <f t="shared" si="4"/>
        <v>catégorie 3</v>
      </c>
      <c r="AI72" s="631"/>
    </row>
    <row r="73" spans="1:35" ht="14">
      <c r="A73" t="s">
        <v>674</v>
      </c>
      <c r="B73" s="471" t="s">
        <v>27</v>
      </c>
      <c r="C73" s="651">
        <v>25400</v>
      </c>
      <c r="D73" s="652">
        <v>35926</v>
      </c>
      <c r="E73" s="473" t="s">
        <v>501</v>
      </c>
      <c r="F73" s="1029" t="s">
        <v>3</v>
      </c>
      <c r="G73" s="472" t="s">
        <v>395</v>
      </c>
      <c r="H73" s="472" t="s">
        <v>392</v>
      </c>
      <c r="I73" s="474" t="s">
        <v>22</v>
      </c>
      <c r="J73" s="474" t="s">
        <v>28</v>
      </c>
      <c r="K73" s="475" t="s">
        <v>43</v>
      </c>
      <c r="L73" s="861" t="str">
        <f t="shared" si="0"/>
        <v>salarié</v>
      </c>
      <c r="M73" s="483" t="s">
        <v>48</v>
      </c>
      <c r="N73" s="483" t="s">
        <v>0</v>
      </c>
      <c r="O73" s="484">
        <v>0.8</v>
      </c>
      <c r="P73" s="476" t="s">
        <v>58</v>
      </c>
      <c r="Q73" s="477" t="s">
        <v>34</v>
      </c>
      <c r="R73" s="478">
        <v>1</v>
      </c>
      <c r="S73" s="479">
        <v>7</v>
      </c>
      <c r="T73" s="1">
        <v>43000</v>
      </c>
      <c r="U73" s="656">
        <v>58284.15753012606</v>
      </c>
      <c r="V73" s="479">
        <v>250</v>
      </c>
      <c r="W73" s="483">
        <v>1</v>
      </c>
      <c r="X73" s="476">
        <v>0</v>
      </c>
      <c r="Y73" s="476">
        <v>1</v>
      </c>
      <c r="Z73" s="476">
        <v>0</v>
      </c>
      <c r="AA73" s="480" t="s">
        <v>996</v>
      </c>
      <c r="AB73" s="561">
        <f t="shared" si="1"/>
        <v>51</v>
      </c>
      <c r="AC73" s="561">
        <f t="shared" si="2"/>
        <v>22</v>
      </c>
      <c r="AD73" s="624" t="str">
        <f>IF(AB73="","",VLOOKUP(AB73,trancheage[],2,TRUE))</f>
        <v>50 ans et plus</v>
      </c>
      <c r="AE73" s="624" t="str">
        <f>IFERROR(VLOOKUP(AC73,trancheanciennete[],2,TRUE),"")</f>
        <v>5 : 20-24</v>
      </c>
      <c r="AF73" s="625" t="str">
        <f>IF(T73&gt;0,VLOOKUP(T73,Trancheremuneration[],2,TRUE),"")</f>
        <v>5 : + de 23 000</v>
      </c>
      <c r="AG73" s="623">
        <f t="shared" si="3"/>
        <v>70190.989036151266</v>
      </c>
      <c r="AH73" s="631" t="str">
        <f t="shared" si="4"/>
        <v>catégorie 1</v>
      </c>
      <c r="AI73" s="631"/>
    </row>
    <row r="74" spans="1:35" ht="14">
      <c r="A74" t="s">
        <v>675</v>
      </c>
      <c r="B74" s="471" t="s">
        <v>27</v>
      </c>
      <c r="C74" s="651">
        <v>25582</v>
      </c>
      <c r="D74" s="652">
        <v>35961</v>
      </c>
      <c r="E74" s="473" t="s">
        <v>501</v>
      </c>
      <c r="F74" s="1029" t="s">
        <v>3</v>
      </c>
      <c r="G74" s="472" t="s">
        <v>395</v>
      </c>
      <c r="H74" s="472" t="s">
        <v>392</v>
      </c>
      <c r="I74" s="474" t="s">
        <v>22</v>
      </c>
      <c r="J74" s="474" t="s">
        <v>28</v>
      </c>
      <c r="K74" s="475" t="s">
        <v>43</v>
      </c>
      <c r="L74" s="861" t="str">
        <f t="shared" si="0"/>
        <v>salarié</v>
      </c>
      <c r="M74" s="483" t="s">
        <v>48</v>
      </c>
      <c r="N74" s="483" t="s">
        <v>0</v>
      </c>
      <c r="O74" s="484">
        <v>0.5</v>
      </c>
      <c r="P74" s="476" t="s">
        <v>58</v>
      </c>
      <c r="Q74" s="477" t="s">
        <v>30</v>
      </c>
      <c r="R74" s="478">
        <v>0</v>
      </c>
      <c r="S74" s="479">
        <v>7</v>
      </c>
      <c r="T74" s="1">
        <v>57400</v>
      </c>
      <c r="U74" s="656">
        <v>22153.990747239281</v>
      </c>
      <c r="V74" s="479">
        <v>250</v>
      </c>
      <c r="W74" s="483">
        <v>0</v>
      </c>
      <c r="X74" s="476">
        <v>0</v>
      </c>
      <c r="Y74" s="476">
        <v>1</v>
      </c>
      <c r="Z74" s="476">
        <v>0</v>
      </c>
      <c r="AA74" s="480" t="s">
        <v>996</v>
      </c>
      <c r="AB74" s="561">
        <f t="shared" si="1"/>
        <v>50</v>
      </c>
      <c r="AC74" s="561">
        <f t="shared" si="2"/>
        <v>22</v>
      </c>
      <c r="AD74" s="624" t="str">
        <f>IF(AB74="","",VLOOKUP(AB74,trancheage[],2,TRUE))</f>
        <v>50 ans et plus</v>
      </c>
      <c r="AE74" s="624" t="str">
        <f>IFERROR(VLOOKUP(AC74,trancheanciennete[],2,TRUE),"")</f>
        <v>5 : 20-24</v>
      </c>
      <c r="AF74" s="625" t="str">
        <f>IF(T74&gt;0,VLOOKUP(T74,Trancheremuneration[],2,TRUE),"")</f>
        <v>5 : + de 23 000</v>
      </c>
      <c r="AG74" s="623">
        <f t="shared" si="3"/>
        <v>33480.986120858921</v>
      </c>
      <c r="AH74" s="631" t="str">
        <f t="shared" si="4"/>
        <v>catégorie 1</v>
      </c>
      <c r="AI74" s="631"/>
    </row>
    <row r="75" spans="1:35" ht="14">
      <c r="A75" t="s">
        <v>676</v>
      </c>
      <c r="B75" s="471" t="s">
        <v>47</v>
      </c>
      <c r="C75" s="651">
        <v>26790</v>
      </c>
      <c r="D75" s="652">
        <v>36020</v>
      </c>
      <c r="E75" s="473" t="s">
        <v>504</v>
      </c>
      <c r="F75" s="1029" t="s">
        <v>50</v>
      </c>
      <c r="G75" s="472" t="s">
        <v>396</v>
      </c>
      <c r="H75" s="472" t="s">
        <v>394</v>
      </c>
      <c r="I75" s="474" t="s">
        <v>23</v>
      </c>
      <c r="J75" s="474" t="s">
        <v>18</v>
      </c>
      <c r="K75" s="475" t="s">
        <v>306</v>
      </c>
      <c r="L75" s="861" t="str">
        <f t="shared" si="0"/>
        <v>salarié</v>
      </c>
      <c r="M75" s="485" t="s">
        <v>48</v>
      </c>
      <c r="N75" s="485" t="s">
        <v>0</v>
      </c>
      <c r="O75" s="486">
        <v>0.8</v>
      </c>
      <c r="P75" s="481" t="s">
        <v>58</v>
      </c>
      <c r="Q75" s="482" t="s">
        <v>34</v>
      </c>
      <c r="R75" s="478">
        <v>1</v>
      </c>
      <c r="S75" s="479">
        <v>14</v>
      </c>
      <c r="T75" s="1">
        <v>22720</v>
      </c>
      <c r="U75" s="656">
        <v>35783.501524842031</v>
      </c>
      <c r="V75" s="479">
        <v>250</v>
      </c>
      <c r="W75" s="483">
        <v>1</v>
      </c>
      <c r="X75" s="476">
        <v>0</v>
      </c>
      <c r="Y75" s="476">
        <v>0</v>
      </c>
      <c r="Z75" s="476">
        <v>0</v>
      </c>
      <c r="AA75" s="480" t="s">
        <v>996</v>
      </c>
      <c r="AB75" s="561">
        <f t="shared" si="1"/>
        <v>47</v>
      </c>
      <c r="AC75" s="561">
        <f t="shared" si="2"/>
        <v>22</v>
      </c>
      <c r="AD75" s="624" t="str">
        <f>IF(AB75="","",VLOOKUP(AB75,trancheage[],2,TRUE))</f>
        <v>40 à 49 ans</v>
      </c>
      <c r="AE75" s="624" t="str">
        <f>IFERROR(VLOOKUP(AC75,trancheanciennete[],2,TRUE),"")</f>
        <v>5 : 20-24</v>
      </c>
      <c r="AF75" s="625" t="str">
        <f>IF(T75&gt;0,VLOOKUP(T75,Trancheremuneration[],2,TRUE),"")</f>
        <v>4: 20 000-23 000</v>
      </c>
      <c r="AG75" s="623">
        <f t="shared" si="3"/>
        <v>43190.201829810438</v>
      </c>
      <c r="AH75" s="631" t="str">
        <f t="shared" si="4"/>
        <v>catégorie 3</v>
      </c>
      <c r="AI75" s="631"/>
    </row>
    <row r="76" spans="1:35" ht="14">
      <c r="A76" t="s">
        <v>677</v>
      </c>
      <c r="B76" s="471" t="s">
        <v>47</v>
      </c>
      <c r="C76" s="651">
        <v>30469</v>
      </c>
      <c r="D76" s="652">
        <v>36136</v>
      </c>
      <c r="E76" s="473" t="s">
        <v>501</v>
      </c>
      <c r="F76" s="1029" t="s">
        <v>3</v>
      </c>
      <c r="G76" s="472" t="s">
        <v>396</v>
      </c>
      <c r="H76" s="472" t="s">
        <v>392</v>
      </c>
      <c r="I76" s="474" t="s">
        <v>22</v>
      </c>
      <c r="J76" s="474" t="s">
        <v>28</v>
      </c>
      <c r="K76" s="475" t="s">
        <v>43</v>
      </c>
      <c r="L76" s="861" t="str">
        <f t="shared" si="0"/>
        <v>salarié</v>
      </c>
      <c r="M76" s="483" t="s">
        <v>48</v>
      </c>
      <c r="N76" s="483" t="s">
        <v>0</v>
      </c>
      <c r="O76" s="486">
        <v>0.8</v>
      </c>
      <c r="P76" s="481" t="s">
        <v>59</v>
      </c>
      <c r="Q76" s="482" t="s">
        <v>32</v>
      </c>
      <c r="R76" s="478">
        <v>0</v>
      </c>
      <c r="S76" s="479">
        <v>0</v>
      </c>
      <c r="T76" s="1">
        <v>37240</v>
      </c>
      <c r="U76" s="656">
        <v>47150.209801328267</v>
      </c>
      <c r="V76" s="479">
        <v>100</v>
      </c>
      <c r="W76" s="483">
        <v>0</v>
      </c>
      <c r="X76" s="476">
        <v>1</v>
      </c>
      <c r="Y76" s="476">
        <v>0</v>
      </c>
      <c r="Z76" s="476">
        <v>0</v>
      </c>
      <c r="AA76" s="480" t="s">
        <v>996</v>
      </c>
      <c r="AB76" s="561">
        <f t="shared" si="1"/>
        <v>37</v>
      </c>
      <c r="AC76" s="561">
        <f t="shared" si="2"/>
        <v>21</v>
      </c>
      <c r="AD76" s="624" t="str">
        <f>IF(AB76="","",VLOOKUP(AB76,trancheage[],2,TRUE))</f>
        <v>30 à 39 ans</v>
      </c>
      <c r="AE76" s="624" t="str">
        <f>IFERROR(VLOOKUP(AC76,trancheanciennete[],2,TRUE),"")</f>
        <v>5 : 20-24</v>
      </c>
      <c r="AF76" s="625" t="str">
        <f>IF(T76&gt;0,VLOOKUP(T76,Trancheremuneration[],2,TRUE),"")</f>
        <v>5 : + de 23 000</v>
      </c>
      <c r="AG76" s="623">
        <f t="shared" si="3"/>
        <v>56680.251761593921</v>
      </c>
      <c r="AH76" s="631" t="str">
        <f t="shared" si="4"/>
        <v>catégorie 1</v>
      </c>
      <c r="AI76" s="631"/>
    </row>
    <row r="77" spans="1:35" ht="14">
      <c r="A77" t="s">
        <v>678</v>
      </c>
      <c r="B77" s="645" t="s">
        <v>27</v>
      </c>
      <c r="C77" s="651">
        <v>27908</v>
      </c>
      <c r="D77" s="652">
        <v>36164</v>
      </c>
      <c r="E77" s="473" t="s">
        <v>505</v>
      </c>
      <c r="F77" s="1029" t="s">
        <v>50</v>
      </c>
      <c r="G77" s="472" t="s">
        <v>397</v>
      </c>
      <c r="H77" s="472" t="s">
        <v>392</v>
      </c>
      <c r="I77" s="474" t="s">
        <v>23</v>
      </c>
      <c r="J77" s="474" t="s">
        <v>18</v>
      </c>
      <c r="K77" s="475" t="s">
        <v>11</v>
      </c>
      <c r="L77" s="861" t="str">
        <f t="shared" si="0"/>
        <v>salarié</v>
      </c>
      <c r="M77" s="485" t="s">
        <v>48</v>
      </c>
      <c r="N77" s="485" t="s">
        <v>0</v>
      </c>
      <c r="O77" s="484">
        <v>0.8</v>
      </c>
      <c r="P77" s="476" t="s">
        <v>58</v>
      </c>
      <c r="Q77" s="477" t="s">
        <v>34</v>
      </c>
      <c r="R77" s="478">
        <v>1</v>
      </c>
      <c r="S77" s="479">
        <v>7</v>
      </c>
      <c r="T77" s="1">
        <v>43000</v>
      </c>
      <c r="U77" s="656">
        <v>58284.15753012606</v>
      </c>
      <c r="V77" s="479">
        <v>250</v>
      </c>
      <c r="W77" s="483">
        <v>1</v>
      </c>
      <c r="X77" s="476">
        <v>0</v>
      </c>
      <c r="Y77" s="476">
        <v>1</v>
      </c>
      <c r="Z77" s="476">
        <v>0</v>
      </c>
      <c r="AA77" s="480" t="s">
        <v>996</v>
      </c>
      <c r="AB77" s="647">
        <f t="shared" si="1"/>
        <v>44</v>
      </c>
      <c r="AC77" s="647">
        <f t="shared" si="2"/>
        <v>21</v>
      </c>
      <c r="AD77" s="648" t="str">
        <f>IF(AB77="","",VLOOKUP(AB77,trancheage[],2,TRUE))</f>
        <v>40 à 49 ans</v>
      </c>
      <c r="AE77" s="648" t="str">
        <f>IFERROR(VLOOKUP(AC77,trancheanciennete[],2,TRUE),"")</f>
        <v>5 : 20-24</v>
      </c>
      <c r="AF77" s="649" t="str">
        <f>IF(T77&gt;0,VLOOKUP(T77,Trancheremuneration[],2,TRUE),"")</f>
        <v>5 : + de 23 000</v>
      </c>
      <c r="AG77" s="650">
        <f t="shared" si="3"/>
        <v>70190.989036151266</v>
      </c>
      <c r="AH77" s="631" t="str">
        <f t="shared" si="4"/>
        <v>catégorie 1</v>
      </c>
      <c r="AI77" s="631"/>
    </row>
    <row r="78" spans="1:35" ht="14">
      <c r="A78" t="s">
        <v>679</v>
      </c>
      <c r="B78" s="645" t="s">
        <v>27</v>
      </c>
      <c r="C78" s="651">
        <v>29561</v>
      </c>
      <c r="D78" s="652">
        <v>36221</v>
      </c>
      <c r="E78" s="473" t="s">
        <v>504</v>
      </c>
      <c r="F78" s="1029" t="s">
        <v>50</v>
      </c>
      <c r="G78" s="472" t="s">
        <v>398</v>
      </c>
      <c r="H78" s="472" t="s">
        <v>392</v>
      </c>
      <c r="I78" s="474" t="s">
        <v>23</v>
      </c>
      <c r="J78" s="474" t="s">
        <v>18</v>
      </c>
      <c r="K78" s="475" t="s">
        <v>44</v>
      </c>
      <c r="L78" s="861" t="str">
        <f t="shared" si="0"/>
        <v>salarié</v>
      </c>
      <c r="M78" s="485" t="s">
        <v>42</v>
      </c>
      <c r="N78" s="485" t="s">
        <v>0</v>
      </c>
      <c r="O78" s="484">
        <v>0.5</v>
      </c>
      <c r="P78" s="476" t="s">
        <v>58</v>
      </c>
      <c r="Q78" s="477" t="s">
        <v>30</v>
      </c>
      <c r="R78" s="478">
        <v>0</v>
      </c>
      <c r="S78" s="479">
        <v>7</v>
      </c>
      <c r="T78" s="1">
        <v>57400</v>
      </c>
      <c r="U78" s="656">
        <v>22153.990747239281</v>
      </c>
      <c r="V78" s="479">
        <v>250</v>
      </c>
      <c r="W78" s="483">
        <v>0</v>
      </c>
      <c r="X78" s="476">
        <v>0</v>
      </c>
      <c r="Y78" s="476">
        <v>1</v>
      </c>
      <c r="Z78" s="476">
        <v>0</v>
      </c>
      <c r="AA78" s="480" t="s">
        <v>996</v>
      </c>
      <c r="AB78" s="647">
        <f t="shared" si="1"/>
        <v>39</v>
      </c>
      <c r="AC78" s="647">
        <f t="shared" si="2"/>
        <v>21</v>
      </c>
      <c r="AD78" s="648" t="str">
        <f>IF(AB78="","",VLOOKUP(AB78,trancheage[],2,TRUE))</f>
        <v>40 à 49 ans</v>
      </c>
      <c r="AE78" s="648" t="str">
        <f>IFERROR(VLOOKUP(AC78,trancheanciennete[],2,TRUE),"")</f>
        <v>5 : 20-24</v>
      </c>
      <c r="AF78" s="649" t="str">
        <f>IF(T78&gt;0,VLOOKUP(T78,Trancheremuneration[],2,TRUE),"")</f>
        <v>5 : + de 23 000</v>
      </c>
      <c r="AG78" s="650">
        <f t="shared" si="3"/>
        <v>33480.986120858921</v>
      </c>
      <c r="AH78" s="631" t="str">
        <f t="shared" si="4"/>
        <v>catégorie 1</v>
      </c>
      <c r="AI78" s="631"/>
    </row>
    <row r="79" spans="1:35" ht="14">
      <c r="A79" t="s">
        <v>680</v>
      </c>
      <c r="B79" s="645" t="s">
        <v>47</v>
      </c>
      <c r="C79" s="651">
        <v>24800</v>
      </c>
      <c r="D79" s="652">
        <v>36336</v>
      </c>
      <c r="E79" s="473" t="s">
        <v>501</v>
      </c>
      <c r="F79" s="1029" t="s">
        <v>3</v>
      </c>
      <c r="G79" s="472" t="s">
        <v>399</v>
      </c>
      <c r="H79" s="472" t="s">
        <v>392</v>
      </c>
      <c r="I79" s="474" t="s">
        <v>22</v>
      </c>
      <c r="J79" s="474" t="s">
        <v>28</v>
      </c>
      <c r="K79" s="475" t="s">
        <v>43</v>
      </c>
      <c r="L79" s="861" t="str">
        <f t="shared" ref="L79:L142" si="5">"salarié"</f>
        <v>salarié</v>
      </c>
      <c r="M79" s="485" t="s">
        <v>48</v>
      </c>
      <c r="N79" s="485" t="s">
        <v>1</v>
      </c>
      <c r="O79" s="486">
        <v>0.8</v>
      </c>
      <c r="P79" s="481" t="s">
        <v>58</v>
      </c>
      <c r="Q79" s="482" t="s">
        <v>34</v>
      </c>
      <c r="R79" s="478">
        <v>1</v>
      </c>
      <c r="S79" s="479">
        <v>14</v>
      </c>
      <c r="T79" s="1">
        <v>22720</v>
      </c>
      <c r="U79" s="656">
        <v>35783.501524842031</v>
      </c>
      <c r="V79" s="479">
        <v>250</v>
      </c>
      <c r="W79" s="483">
        <v>1</v>
      </c>
      <c r="X79" s="476">
        <v>0</v>
      </c>
      <c r="Y79" s="476">
        <v>0</v>
      </c>
      <c r="Z79" s="476">
        <v>0</v>
      </c>
      <c r="AA79" s="480" t="s">
        <v>996</v>
      </c>
      <c r="AB79" s="647">
        <f t="shared" ref="AB79:AB142" si="6">IF(ISBLANK(C79),"",DATEDIF(C79,dref,"y"))</f>
        <v>52</v>
      </c>
      <c r="AC79" s="647">
        <f t="shared" ref="AC79:AC142" si="7">IF(ISBLANK(C79),"",DATEDIF(D79,dref,"y"))</f>
        <v>21</v>
      </c>
      <c r="AD79" s="648" t="str">
        <f>IF(AB79="","",VLOOKUP(AB79,trancheage[],2,TRUE))</f>
        <v>50 ans et plus</v>
      </c>
      <c r="AE79" s="648" t="str">
        <f>IFERROR(VLOOKUP(AC79,trancheanciennete[],2,TRUE),"")</f>
        <v>5 : 20-24</v>
      </c>
      <c r="AF79" s="649" t="str">
        <f>IF(T79&gt;0,VLOOKUP(T79,Trancheremuneration[],2,TRUE),"")</f>
        <v>4: 20 000-23 000</v>
      </c>
      <c r="AG79" s="650">
        <f t="shared" ref="AG79:AG142" si="8">IF((U79*(1+(100%-O79)))+V79=0,"",(U79*(1+(100%-O79)))+V79)</f>
        <v>43190.201829810438</v>
      </c>
      <c r="AH79" s="631" t="str">
        <f t="shared" ref="AH79:AH142" si="9">IF(coefchoisi=$AS$15,F79,IF(coefchoisi=$AS$16,G79,IF(coefchoisi=$AS$17,H79,1)))</f>
        <v>catégorie 1</v>
      </c>
      <c r="AI79" s="631"/>
    </row>
    <row r="80" spans="1:35" ht="14">
      <c r="A80" t="s">
        <v>681</v>
      </c>
      <c r="B80" s="645" t="s">
        <v>47</v>
      </c>
      <c r="C80" s="651">
        <v>30461</v>
      </c>
      <c r="D80" s="652">
        <v>36349</v>
      </c>
      <c r="E80" s="473" t="s">
        <v>501</v>
      </c>
      <c r="F80" s="1029" t="s">
        <v>3</v>
      </c>
      <c r="G80" s="472" t="s">
        <v>397</v>
      </c>
      <c r="H80" s="472" t="s">
        <v>392</v>
      </c>
      <c r="I80" s="474" t="s">
        <v>22</v>
      </c>
      <c r="J80" s="474" t="s">
        <v>28</v>
      </c>
      <c r="K80" s="475" t="s">
        <v>43</v>
      </c>
      <c r="L80" s="861" t="str">
        <f t="shared" si="5"/>
        <v>salarié</v>
      </c>
      <c r="M80" s="485" t="s">
        <v>42</v>
      </c>
      <c r="N80" s="485" t="s">
        <v>1</v>
      </c>
      <c r="O80" s="486">
        <v>0.8</v>
      </c>
      <c r="P80" s="481" t="s">
        <v>59</v>
      </c>
      <c r="Q80" s="482" t="s">
        <v>32</v>
      </c>
      <c r="R80" s="478">
        <v>0</v>
      </c>
      <c r="S80" s="479">
        <v>0</v>
      </c>
      <c r="T80" s="1">
        <v>37240</v>
      </c>
      <c r="U80" s="656">
        <v>47150.209801328267</v>
      </c>
      <c r="V80" s="479">
        <v>100</v>
      </c>
      <c r="W80" s="483">
        <v>0</v>
      </c>
      <c r="X80" s="476">
        <v>1</v>
      </c>
      <c r="Y80" s="476">
        <v>0</v>
      </c>
      <c r="Z80" s="476">
        <v>0</v>
      </c>
      <c r="AA80" s="480" t="s">
        <v>996</v>
      </c>
      <c r="AB80" s="647">
        <f t="shared" si="6"/>
        <v>37</v>
      </c>
      <c r="AC80" s="647">
        <f t="shared" si="7"/>
        <v>21</v>
      </c>
      <c r="AD80" s="648" t="str">
        <f>IF(AB80="","",VLOOKUP(AB80,trancheage[],2,TRUE))</f>
        <v>30 à 39 ans</v>
      </c>
      <c r="AE80" s="648" t="str">
        <f>IFERROR(VLOOKUP(AC80,trancheanciennete[],2,TRUE),"")</f>
        <v>5 : 20-24</v>
      </c>
      <c r="AF80" s="649" t="str">
        <f>IF(T80&gt;0,VLOOKUP(T80,Trancheremuneration[],2,TRUE),"")</f>
        <v>5 : + de 23 000</v>
      </c>
      <c r="AG80" s="650">
        <f t="shared" si="8"/>
        <v>56680.251761593921</v>
      </c>
      <c r="AH80" s="631" t="str">
        <f t="shared" si="9"/>
        <v>catégorie 1</v>
      </c>
      <c r="AI80" s="631"/>
    </row>
    <row r="81" spans="1:35" ht="14">
      <c r="A81" t="s">
        <v>682</v>
      </c>
      <c r="B81" s="645" t="s">
        <v>47</v>
      </c>
      <c r="C81" s="651">
        <v>30147</v>
      </c>
      <c r="D81" s="652">
        <v>36412</v>
      </c>
      <c r="E81" s="473" t="s">
        <v>501</v>
      </c>
      <c r="F81" s="1029" t="s">
        <v>3</v>
      </c>
      <c r="G81" s="472" t="s">
        <v>398</v>
      </c>
      <c r="H81" s="472" t="s">
        <v>392</v>
      </c>
      <c r="I81" s="474" t="s">
        <v>22</v>
      </c>
      <c r="J81" s="474" t="s">
        <v>28</v>
      </c>
      <c r="K81" s="475" t="s">
        <v>43</v>
      </c>
      <c r="L81" s="861" t="str">
        <f t="shared" si="5"/>
        <v>salarié</v>
      </c>
      <c r="M81" s="485" t="s">
        <v>48</v>
      </c>
      <c r="N81" s="485" t="s">
        <v>1</v>
      </c>
      <c r="O81" s="484">
        <v>0.8</v>
      </c>
      <c r="P81" s="476" t="s">
        <v>58</v>
      </c>
      <c r="Q81" s="477" t="s">
        <v>34</v>
      </c>
      <c r="R81" s="478">
        <v>1</v>
      </c>
      <c r="S81" s="479">
        <v>7</v>
      </c>
      <c r="T81" s="1">
        <v>43000</v>
      </c>
      <c r="U81" s="656">
        <v>58284.15753012606</v>
      </c>
      <c r="V81" s="479">
        <v>250</v>
      </c>
      <c r="W81" s="483">
        <v>1</v>
      </c>
      <c r="X81" s="476">
        <v>0</v>
      </c>
      <c r="Y81" s="476">
        <v>1</v>
      </c>
      <c r="Z81" s="476">
        <v>0</v>
      </c>
      <c r="AA81" s="480" t="s">
        <v>996</v>
      </c>
      <c r="AB81" s="647">
        <f t="shared" si="6"/>
        <v>38</v>
      </c>
      <c r="AC81" s="647">
        <f t="shared" si="7"/>
        <v>20</v>
      </c>
      <c r="AD81" s="648" t="str">
        <f>IF(AB81="","",VLOOKUP(AB81,trancheage[],2,TRUE))</f>
        <v>30 à 39 ans</v>
      </c>
      <c r="AE81" s="648" t="str">
        <f>IFERROR(VLOOKUP(AC81,trancheanciennete[],2,TRUE),"")</f>
        <v>5 : 20-24</v>
      </c>
      <c r="AF81" s="649" t="str">
        <f>IF(T81&gt;0,VLOOKUP(T81,Trancheremuneration[],2,TRUE),"")</f>
        <v>5 : + de 23 000</v>
      </c>
      <c r="AG81" s="650">
        <f t="shared" si="8"/>
        <v>70190.989036151266</v>
      </c>
      <c r="AH81" s="631" t="str">
        <f t="shared" si="9"/>
        <v>catégorie 1</v>
      </c>
      <c r="AI81" s="631"/>
    </row>
    <row r="82" spans="1:35" ht="14">
      <c r="A82" t="s">
        <v>683</v>
      </c>
      <c r="B82" s="645" t="s">
        <v>27</v>
      </c>
      <c r="C82" s="651">
        <v>23948</v>
      </c>
      <c r="D82" s="652">
        <v>36486</v>
      </c>
      <c r="E82" s="473" t="s">
        <v>502</v>
      </c>
      <c r="F82" s="1029" t="s">
        <v>50</v>
      </c>
      <c r="G82" s="472" t="s">
        <v>395</v>
      </c>
      <c r="H82" s="472" t="s">
        <v>392</v>
      </c>
      <c r="I82" s="474" t="s">
        <v>22</v>
      </c>
      <c r="J82" s="474" t="s">
        <v>28</v>
      </c>
      <c r="K82" s="475" t="s">
        <v>56</v>
      </c>
      <c r="L82" s="861" t="str">
        <f t="shared" si="5"/>
        <v>salarié</v>
      </c>
      <c r="M82" s="485" t="s">
        <v>48</v>
      </c>
      <c r="N82" s="485" t="s">
        <v>1</v>
      </c>
      <c r="O82" s="484">
        <v>0.5</v>
      </c>
      <c r="P82" s="476" t="s">
        <v>58</v>
      </c>
      <c r="Q82" s="477" t="s">
        <v>30</v>
      </c>
      <c r="R82" s="478">
        <v>0</v>
      </c>
      <c r="S82" s="479">
        <v>7</v>
      </c>
      <c r="T82" s="1">
        <v>57400</v>
      </c>
      <c r="U82" s="656">
        <v>22153.990747239281</v>
      </c>
      <c r="V82" s="479">
        <v>250</v>
      </c>
      <c r="W82" s="483">
        <v>0</v>
      </c>
      <c r="X82" s="476">
        <v>0</v>
      </c>
      <c r="Y82" s="476">
        <v>1</v>
      </c>
      <c r="Z82" s="476">
        <v>0</v>
      </c>
      <c r="AA82" s="480" t="s">
        <v>996</v>
      </c>
      <c r="AB82" s="647">
        <f t="shared" si="6"/>
        <v>55</v>
      </c>
      <c r="AC82" s="647">
        <f t="shared" si="7"/>
        <v>20</v>
      </c>
      <c r="AD82" s="648" t="str">
        <f>IF(AB82="","",VLOOKUP(AB82,trancheage[],2,TRUE))</f>
        <v>50 ans et plus</v>
      </c>
      <c r="AE82" s="648" t="str">
        <f>IFERROR(VLOOKUP(AC82,trancheanciennete[],2,TRUE),"")</f>
        <v>5 : 20-24</v>
      </c>
      <c r="AF82" s="649" t="str">
        <f>IF(T82&gt;0,VLOOKUP(T82,Trancheremuneration[],2,TRUE),"")</f>
        <v>5 : + de 23 000</v>
      </c>
      <c r="AG82" s="650">
        <f t="shared" si="8"/>
        <v>33480.986120858921</v>
      </c>
      <c r="AH82" s="631" t="str">
        <f t="shared" si="9"/>
        <v>catégorie 1</v>
      </c>
      <c r="AI82" s="631"/>
    </row>
    <row r="83" spans="1:35" ht="14">
      <c r="A83" t="s">
        <v>684</v>
      </c>
      <c r="B83" s="645" t="s">
        <v>27</v>
      </c>
      <c r="C83" s="651">
        <v>25359</v>
      </c>
      <c r="D83" s="652">
        <v>36536</v>
      </c>
      <c r="E83" s="473" t="s">
        <v>505</v>
      </c>
      <c r="F83" s="1029" t="s">
        <v>3</v>
      </c>
      <c r="G83" s="472" t="s">
        <v>395</v>
      </c>
      <c r="H83" s="472" t="s">
        <v>392</v>
      </c>
      <c r="I83" s="474" t="s">
        <v>22</v>
      </c>
      <c r="J83" s="474" t="s">
        <v>28</v>
      </c>
      <c r="K83" s="475" t="s">
        <v>35</v>
      </c>
      <c r="L83" s="861" t="str">
        <f t="shared" si="5"/>
        <v>salarié</v>
      </c>
      <c r="M83" s="485" t="s">
        <v>48</v>
      </c>
      <c r="N83" s="485" t="s">
        <v>1</v>
      </c>
      <c r="O83" s="486">
        <v>0.8</v>
      </c>
      <c r="P83" s="481" t="s">
        <v>58</v>
      </c>
      <c r="Q83" s="482" t="s">
        <v>34</v>
      </c>
      <c r="R83" s="478">
        <v>1</v>
      </c>
      <c r="S83" s="479">
        <v>14</v>
      </c>
      <c r="T83" s="1">
        <v>22720</v>
      </c>
      <c r="U83" s="656">
        <v>35783.501524842031</v>
      </c>
      <c r="V83" s="479">
        <v>250</v>
      </c>
      <c r="W83" s="483">
        <v>1</v>
      </c>
      <c r="X83" s="476">
        <v>0</v>
      </c>
      <c r="Y83" s="476">
        <v>0</v>
      </c>
      <c r="Z83" s="476">
        <v>0</v>
      </c>
      <c r="AA83" s="480" t="s">
        <v>996</v>
      </c>
      <c r="AB83" s="647">
        <f t="shared" si="6"/>
        <v>51</v>
      </c>
      <c r="AC83" s="647">
        <f t="shared" si="7"/>
        <v>20</v>
      </c>
      <c r="AD83" s="648" t="str">
        <f>IF(AB83="","",VLOOKUP(AB83,trancheage[],2,TRUE))</f>
        <v>50 ans et plus</v>
      </c>
      <c r="AE83" s="648" t="str">
        <f>IFERROR(VLOOKUP(AC83,trancheanciennete[],2,TRUE),"")</f>
        <v>5 : 20-24</v>
      </c>
      <c r="AF83" s="649" t="str">
        <f>IF(T83&gt;0,VLOOKUP(T83,Trancheremuneration[],2,TRUE),"")</f>
        <v>4: 20 000-23 000</v>
      </c>
      <c r="AG83" s="650">
        <f t="shared" si="8"/>
        <v>43190.201829810438</v>
      </c>
      <c r="AH83" s="631" t="str">
        <f t="shared" si="9"/>
        <v>catégorie 1</v>
      </c>
      <c r="AI83" s="631"/>
    </row>
    <row r="84" spans="1:35" ht="14">
      <c r="A84" t="s">
        <v>685</v>
      </c>
      <c r="B84" s="645" t="s">
        <v>27</v>
      </c>
      <c r="C84" s="651">
        <v>23564</v>
      </c>
      <c r="D84" s="652">
        <v>36586</v>
      </c>
      <c r="E84" s="473" t="s">
        <v>501</v>
      </c>
      <c r="F84" s="1029" t="s">
        <v>3</v>
      </c>
      <c r="G84" s="472" t="s">
        <v>395</v>
      </c>
      <c r="H84" s="472" t="s">
        <v>392</v>
      </c>
      <c r="I84" s="474" t="s">
        <v>22</v>
      </c>
      <c r="J84" s="474" t="s">
        <v>28</v>
      </c>
      <c r="K84" s="475" t="s">
        <v>43</v>
      </c>
      <c r="L84" s="861" t="str">
        <f t="shared" si="5"/>
        <v>salarié</v>
      </c>
      <c r="M84" s="485" t="s">
        <v>48</v>
      </c>
      <c r="N84" s="485" t="s">
        <v>1</v>
      </c>
      <c r="O84" s="486">
        <v>0.8</v>
      </c>
      <c r="P84" s="481" t="s">
        <v>59</v>
      </c>
      <c r="Q84" s="482" t="s">
        <v>32</v>
      </c>
      <c r="R84" s="478">
        <v>0</v>
      </c>
      <c r="S84" s="479">
        <v>0</v>
      </c>
      <c r="T84" s="1">
        <v>37240</v>
      </c>
      <c r="U84" s="656">
        <v>47150.209801328267</v>
      </c>
      <c r="V84" s="479">
        <v>100</v>
      </c>
      <c r="W84" s="483">
        <v>0</v>
      </c>
      <c r="X84" s="476">
        <v>1</v>
      </c>
      <c r="Y84" s="476">
        <v>0</v>
      </c>
      <c r="Z84" s="476">
        <v>0</v>
      </c>
      <c r="AA84" s="480" t="s">
        <v>996</v>
      </c>
      <c r="AB84" s="647">
        <f t="shared" si="6"/>
        <v>56</v>
      </c>
      <c r="AC84" s="647">
        <f t="shared" si="7"/>
        <v>20</v>
      </c>
      <c r="AD84" s="648" t="str">
        <f>IF(AB84="","",VLOOKUP(AB84,trancheage[],2,TRUE))</f>
        <v>50 ans et plus</v>
      </c>
      <c r="AE84" s="648" t="str">
        <f>IFERROR(VLOOKUP(AC84,trancheanciennete[],2,TRUE),"")</f>
        <v>5 : 20-24</v>
      </c>
      <c r="AF84" s="649" t="str">
        <f>IF(T84&gt;0,VLOOKUP(T84,Trancheremuneration[],2,TRUE),"")</f>
        <v>5 : + de 23 000</v>
      </c>
      <c r="AG84" s="650">
        <f t="shared" si="8"/>
        <v>56680.251761593921</v>
      </c>
      <c r="AH84" s="631" t="str">
        <f t="shared" si="9"/>
        <v>catégorie 1</v>
      </c>
      <c r="AI84" s="631"/>
    </row>
    <row r="85" spans="1:35" ht="14">
      <c r="A85" t="s">
        <v>686</v>
      </c>
      <c r="B85" s="645" t="s">
        <v>27</v>
      </c>
      <c r="C85" s="651">
        <v>27002</v>
      </c>
      <c r="D85" s="652">
        <v>36699</v>
      </c>
      <c r="E85" s="473" t="s">
        <v>501</v>
      </c>
      <c r="F85" s="1029" t="s">
        <v>3</v>
      </c>
      <c r="G85" s="472" t="s">
        <v>399</v>
      </c>
      <c r="H85" s="472" t="s">
        <v>392</v>
      </c>
      <c r="I85" s="474" t="s">
        <v>22</v>
      </c>
      <c r="J85" s="474" t="s">
        <v>29</v>
      </c>
      <c r="K85" s="475" t="s">
        <v>43</v>
      </c>
      <c r="L85" s="861" t="str">
        <f t="shared" si="5"/>
        <v>salarié</v>
      </c>
      <c r="M85" s="485" t="s">
        <v>48</v>
      </c>
      <c r="N85" s="485" t="s">
        <v>1</v>
      </c>
      <c r="O85" s="484">
        <v>0.8</v>
      </c>
      <c r="P85" s="476" t="s">
        <v>58</v>
      </c>
      <c r="Q85" s="477" t="s">
        <v>34</v>
      </c>
      <c r="R85" s="478">
        <v>1</v>
      </c>
      <c r="S85" s="479">
        <v>7</v>
      </c>
      <c r="T85" s="1">
        <v>43000</v>
      </c>
      <c r="U85" s="656">
        <v>58284.15753012606</v>
      </c>
      <c r="V85" s="479">
        <v>250</v>
      </c>
      <c r="W85" s="483">
        <v>1</v>
      </c>
      <c r="X85" s="476">
        <v>0</v>
      </c>
      <c r="Y85" s="476">
        <v>1</v>
      </c>
      <c r="Z85" s="476">
        <v>0</v>
      </c>
      <c r="AA85" s="646" t="s">
        <v>997</v>
      </c>
      <c r="AB85" s="647">
        <f t="shared" si="6"/>
        <v>46</v>
      </c>
      <c r="AC85" s="647">
        <f t="shared" si="7"/>
        <v>20</v>
      </c>
      <c r="AD85" s="648" t="str">
        <f>IF(AB85="","",VLOOKUP(AB85,trancheage[],2,TRUE))</f>
        <v>40 à 49 ans</v>
      </c>
      <c r="AE85" s="648" t="str">
        <f>IFERROR(VLOOKUP(AC85,trancheanciennete[],2,TRUE),"")</f>
        <v>5 : 20-24</v>
      </c>
      <c r="AF85" s="649" t="str">
        <f>IF(T85&gt;0,VLOOKUP(T85,Trancheremuneration[],2,TRUE),"")</f>
        <v>5 : + de 23 000</v>
      </c>
      <c r="AG85" s="650">
        <f t="shared" si="8"/>
        <v>70190.989036151266</v>
      </c>
      <c r="AH85" s="631" t="str">
        <f t="shared" si="9"/>
        <v>catégorie 1</v>
      </c>
      <c r="AI85" s="631"/>
    </row>
    <row r="86" spans="1:35" ht="14">
      <c r="A86" t="s">
        <v>687</v>
      </c>
      <c r="B86" s="645" t="s">
        <v>27</v>
      </c>
      <c r="C86" s="651">
        <v>27187</v>
      </c>
      <c r="D86" s="652">
        <v>36801</v>
      </c>
      <c r="E86" s="473" t="s">
        <v>505</v>
      </c>
      <c r="F86" s="1029" t="s">
        <v>3</v>
      </c>
      <c r="G86" s="472" t="s">
        <v>396</v>
      </c>
      <c r="H86" s="472" t="s">
        <v>393</v>
      </c>
      <c r="I86" s="474" t="s">
        <v>38</v>
      </c>
      <c r="J86" s="474" t="s">
        <v>52</v>
      </c>
      <c r="K86" s="475" t="s">
        <v>37</v>
      </c>
      <c r="L86" s="861" t="str">
        <f t="shared" si="5"/>
        <v>salarié</v>
      </c>
      <c r="M86" s="485" t="s">
        <v>48</v>
      </c>
      <c r="N86" s="485" t="s">
        <v>1</v>
      </c>
      <c r="O86" s="484">
        <v>0.5</v>
      </c>
      <c r="P86" s="476" t="s">
        <v>58</v>
      </c>
      <c r="Q86" s="477" t="s">
        <v>30</v>
      </c>
      <c r="R86" s="478">
        <v>0</v>
      </c>
      <c r="S86" s="479">
        <v>7</v>
      </c>
      <c r="T86" s="1">
        <v>57400</v>
      </c>
      <c r="U86" s="656">
        <v>22153.990747239281</v>
      </c>
      <c r="V86" s="479">
        <v>250</v>
      </c>
      <c r="W86" s="483">
        <v>0</v>
      </c>
      <c r="X86" s="476">
        <v>0</v>
      </c>
      <c r="Y86" s="476">
        <v>1</v>
      </c>
      <c r="Z86" s="476">
        <v>0</v>
      </c>
      <c r="AA86" s="646" t="s">
        <v>997</v>
      </c>
      <c r="AB86" s="647">
        <f t="shared" si="6"/>
        <v>46</v>
      </c>
      <c r="AC86" s="647">
        <f t="shared" si="7"/>
        <v>19</v>
      </c>
      <c r="AD86" s="648" t="str">
        <f>IF(AB86="","",VLOOKUP(AB86,trancheage[],2,TRUE))</f>
        <v>40 à 49 ans</v>
      </c>
      <c r="AE86" s="648" t="str">
        <f>IFERROR(VLOOKUP(AC86,trancheanciennete[],2,TRUE),"")</f>
        <v>5 : 20-24</v>
      </c>
      <c r="AF86" s="649" t="str">
        <f>IF(T86&gt;0,VLOOKUP(T86,Trancheremuneration[],2,TRUE),"")</f>
        <v>5 : + de 23 000</v>
      </c>
      <c r="AG86" s="650">
        <f t="shared" si="8"/>
        <v>33480.986120858921</v>
      </c>
      <c r="AH86" s="631" t="str">
        <f t="shared" si="9"/>
        <v>catégorie 2</v>
      </c>
      <c r="AI86" s="631"/>
    </row>
    <row r="87" spans="1:35" ht="14">
      <c r="A87" t="s">
        <v>569</v>
      </c>
      <c r="B87" s="645" t="s">
        <v>47</v>
      </c>
      <c r="C87" s="651">
        <v>23998</v>
      </c>
      <c r="D87" s="652">
        <v>36828</v>
      </c>
      <c r="E87" s="473" t="s">
        <v>501</v>
      </c>
      <c r="F87" s="1029" t="s">
        <v>50</v>
      </c>
      <c r="G87" s="472" t="s">
        <v>397</v>
      </c>
      <c r="H87" s="472" t="s">
        <v>392</v>
      </c>
      <c r="I87" s="474" t="s">
        <v>22</v>
      </c>
      <c r="J87" s="474" t="s">
        <v>29</v>
      </c>
      <c r="K87" s="475" t="s">
        <v>43</v>
      </c>
      <c r="L87" s="861" t="str">
        <f t="shared" si="5"/>
        <v>salarié</v>
      </c>
      <c r="M87" s="485" t="s">
        <v>48</v>
      </c>
      <c r="N87" s="485" t="s">
        <v>0</v>
      </c>
      <c r="O87" s="486">
        <v>0.8</v>
      </c>
      <c r="P87" s="481" t="s">
        <v>58</v>
      </c>
      <c r="Q87" s="482" t="s">
        <v>34</v>
      </c>
      <c r="R87" s="478">
        <v>1</v>
      </c>
      <c r="S87" s="479">
        <v>14</v>
      </c>
      <c r="T87" s="1">
        <v>22720</v>
      </c>
      <c r="U87" s="656">
        <v>15301.473660819251</v>
      </c>
      <c r="V87" s="479">
        <v>250</v>
      </c>
      <c r="W87" s="483">
        <v>1</v>
      </c>
      <c r="X87" s="476">
        <v>0</v>
      </c>
      <c r="Y87" s="476">
        <v>0</v>
      </c>
      <c r="Z87" s="476">
        <v>0</v>
      </c>
      <c r="AA87" s="646" t="s">
        <v>997</v>
      </c>
      <c r="AB87" s="647">
        <f t="shared" si="6"/>
        <v>54</v>
      </c>
      <c r="AC87" s="647">
        <f t="shared" si="7"/>
        <v>19</v>
      </c>
      <c r="AD87" s="648" t="str">
        <f>IF(AB87="","",VLOOKUP(AB87,trancheage[],2,TRUE))</f>
        <v>50 ans et plus</v>
      </c>
      <c r="AE87" s="648" t="str">
        <f>IFERROR(VLOOKUP(AC87,trancheanciennete[],2,TRUE),"")</f>
        <v>5 : 20-24</v>
      </c>
      <c r="AF87" s="649" t="str">
        <f>IF(T87&gt;0,VLOOKUP(T87,Trancheremuneration[],2,TRUE),"")</f>
        <v>4: 20 000-23 000</v>
      </c>
      <c r="AG87" s="650">
        <f t="shared" si="8"/>
        <v>18611.7683929831</v>
      </c>
      <c r="AH87" s="631" t="str">
        <f t="shared" si="9"/>
        <v>catégorie 1</v>
      </c>
      <c r="AI87" s="631"/>
    </row>
    <row r="88" spans="1:35" ht="14">
      <c r="A88" t="s">
        <v>688</v>
      </c>
      <c r="B88" s="645" t="s">
        <v>27</v>
      </c>
      <c r="C88" s="651">
        <v>26924</v>
      </c>
      <c r="D88" s="652">
        <v>36830</v>
      </c>
      <c r="E88" s="473" t="s">
        <v>501</v>
      </c>
      <c r="F88" s="1029" t="s">
        <v>50</v>
      </c>
      <c r="G88" s="472" t="s">
        <v>398</v>
      </c>
      <c r="H88" s="472" t="s">
        <v>392</v>
      </c>
      <c r="I88" s="474" t="s">
        <v>22</v>
      </c>
      <c r="J88" s="474" t="s">
        <v>29</v>
      </c>
      <c r="K88" s="475" t="s">
        <v>43</v>
      </c>
      <c r="L88" s="861" t="str">
        <f t="shared" si="5"/>
        <v>salarié</v>
      </c>
      <c r="M88" s="485" t="s">
        <v>48</v>
      </c>
      <c r="N88" s="485" t="s">
        <v>0</v>
      </c>
      <c r="O88" s="486">
        <v>0.8</v>
      </c>
      <c r="P88" s="481" t="s">
        <v>58</v>
      </c>
      <c r="Q88" s="482" t="s">
        <v>34</v>
      </c>
      <c r="R88" s="478">
        <v>0</v>
      </c>
      <c r="S88" s="479">
        <v>14</v>
      </c>
      <c r="T88" s="1">
        <v>20320</v>
      </c>
      <c r="U88" s="656">
        <v>12191.418489269836</v>
      </c>
      <c r="V88" s="479">
        <v>250</v>
      </c>
      <c r="W88" s="483">
        <v>0</v>
      </c>
      <c r="X88" s="476">
        <v>0</v>
      </c>
      <c r="Y88" s="476">
        <v>0</v>
      </c>
      <c r="Z88" s="476">
        <v>0</v>
      </c>
      <c r="AA88" s="646" t="s">
        <v>997</v>
      </c>
      <c r="AB88" s="647">
        <f t="shared" si="6"/>
        <v>46</v>
      </c>
      <c r="AC88" s="647">
        <f t="shared" si="7"/>
        <v>19</v>
      </c>
      <c r="AD88" s="648" t="str">
        <f>IF(AB88="","",VLOOKUP(AB88,trancheage[],2,TRUE))</f>
        <v>40 à 49 ans</v>
      </c>
      <c r="AE88" s="648" t="str">
        <f>IFERROR(VLOOKUP(AC88,trancheanciennete[],2,TRUE),"")</f>
        <v>5 : 20-24</v>
      </c>
      <c r="AF88" s="649" t="str">
        <f>IF(T88&gt;0,VLOOKUP(T88,Trancheremuneration[],2,TRUE),"")</f>
        <v>4: 20 000-23 000</v>
      </c>
      <c r="AG88" s="650">
        <f t="shared" si="8"/>
        <v>14879.702187123803</v>
      </c>
      <c r="AH88" s="631" t="str">
        <f t="shared" si="9"/>
        <v>catégorie 1</v>
      </c>
      <c r="AI88" s="631"/>
    </row>
    <row r="89" spans="1:35" ht="14">
      <c r="A89" t="s">
        <v>570</v>
      </c>
      <c r="B89" s="645" t="s">
        <v>27</v>
      </c>
      <c r="C89" s="651">
        <v>31323</v>
      </c>
      <c r="D89" s="652">
        <v>36961</v>
      </c>
      <c r="E89" s="473" t="s">
        <v>505</v>
      </c>
      <c r="F89" s="1029" t="s">
        <v>3</v>
      </c>
      <c r="G89" s="472" t="s">
        <v>399</v>
      </c>
      <c r="H89" s="472" t="s">
        <v>392</v>
      </c>
      <c r="I89" s="474" t="s">
        <v>23</v>
      </c>
      <c r="J89" s="474" t="s">
        <v>18</v>
      </c>
      <c r="K89" s="475" t="s">
        <v>302</v>
      </c>
      <c r="L89" s="861" t="str">
        <f t="shared" si="5"/>
        <v>salarié</v>
      </c>
      <c r="M89" s="485" t="s">
        <v>48</v>
      </c>
      <c r="N89" s="485" t="s">
        <v>1</v>
      </c>
      <c r="O89" s="486">
        <v>0.8</v>
      </c>
      <c r="P89" s="481" t="s">
        <v>59</v>
      </c>
      <c r="Q89" s="482" t="s">
        <v>31</v>
      </c>
      <c r="R89" s="478">
        <v>0</v>
      </c>
      <c r="S89" s="479">
        <v>7</v>
      </c>
      <c r="T89" s="1">
        <v>14320</v>
      </c>
      <c r="U89" s="656">
        <v>21896.184838227273</v>
      </c>
      <c r="V89" s="479">
        <v>250</v>
      </c>
      <c r="W89" s="483">
        <v>1</v>
      </c>
      <c r="X89" s="476">
        <v>1</v>
      </c>
      <c r="Y89" s="476">
        <v>1</v>
      </c>
      <c r="Z89" s="476">
        <v>0</v>
      </c>
      <c r="AA89" s="646" t="s">
        <v>997</v>
      </c>
      <c r="AB89" s="647">
        <f t="shared" si="6"/>
        <v>34</v>
      </c>
      <c r="AC89" s="647">
        <f t="shared" si="7"/>
        <v>19</v>
      </c>
      <c r="AD89" s="648" t="str">
        <f>IF(AB89="","",VLOOKUP(AB89,trancheage[],2,TRUE))</f>
        <v>30 à 39 ans</v>
      </c>
      <c r="AE89" s="648" t="str">
        <f>IFERROR(VLOOKUP(AC89,trancheanciennete[],2,TRUE),"")</f>
        <v>5 : 20-24</v>
      </c>
      <c r="AF89" s="649" t="str">
        <f>IF(T89&gt;0,VLOOKUP(T89,Trancheremuneration[],2,TRUE),"")</f>
        <v>2:14 000-17 000</v>
      </c>
      <c r="AG89" s="650">
        <f t="shared" si="8"/>
        <v>26525.421805872727</v>
      </c>
      <c r="AH89" s="631" t="str">
        <f t="shared" si="9"/>
        <v>catégorie 1</v>
      </c>
      <c r="AI89" s="631"/>
    </row>
    <row r="90" spans="1:35" ht="14">
      <c r="A90" t="s">
        <v>616</v>
      </c>
      <c r="B90" s="645" t="s">
        <v>47</v>
      </c>
      <c r="C90" s="651">
        <v>25653</v>
      </c>
      <c r="D90" s="652">
        <v>37027</v>
      </c>
      <c r="E90" s="473" t="s">
        <v>505</v>
      </c>
      <c r="F90" s="1029" t="s">
        <v>3</v>
      </c>
      <c r="G90" s="472" t="s">
        <v>395</v>
      </c>
      <c r="H90" s="472" t="s">
        <v>392</v>
      </c>
      <c r="I90" s="474" t="s">
        <v>22</v>
      </c>
      <c r="J90" s="474" t="s">
        <v>29</v>
      </c>
      <c r="K90" s="475" t="s">
        <v>35</v>
      </c>
      <c r="L90" s="861" t="str">
        <f t="shared" si="5"/>
        <v>salarié</v>
      </c>
      <c r="M90" s="485" t="s">
        <v>48</v>
      </c>
      <c r="N90" s="485" t="s">
        <v>1</v>
      </c>
      <c r="O90" s="486">
        <v>1</v>
      </c>
      <c r="P90" s="481" t="s">
        <v>59</v>
      </c>
      <c r="Q90" s="482" t="s">
        <v>30</v>
      </c>
      <c r="R90" s="478">
        <v>0</v>
      </c>
      <c r="S90" s="479">
        <v>7</v>
      </c>
      <c r="T90" s="1">
        <v>25000</v>
      </c>
      <c r="U90" s="656">
        <v>44066.416583509075</v>
      </c>
      <c r="V90" s="479">
        <v>250</v>
      </c>
      <c r="W90" s="483">
        <v>0</v>
      </c>
      <c r="X90" s="476">
        <v>0</v>
      </c>
      <c r="Y90" s="476">
        <v>0</v>
      </c>
      <c r="Z90" s="476">
        <v>0</v>
      </c>
      <c r="AA90" s="646" t="s">
        <v>997</v>
      </c>
      <c r="AB90" s="647">
        <f t="shared" si="6"/>
        <v>50</v>
      </c>
      <c r="AC90" s="647">
        <f t="shared" si="7"/>
        <v>19</v>
      </c>
      <c r="AD90" s="648" t="str">
        <f>IF(AB90="","",VLOOKUP(AB90,trancheage[],2,TRUE))</f>
        <v>50 ans et plus</v>
      </c>
      <c r="AE90" s="648" t="str">
        <f>IFERROR(VLOOKUP(AC90,trancheanciennete[],2,TRUE),"")</f>
        <v>5 : 20-24</v>
      </c>
      <c r="AF90" s="649" t="str">
        <f>IF(T90&gt;0,VLOOKUP(T90,Trancheremuneration[],2,TRUE),"")</f>
        <v>5 : + de 23 000</v>
      </c>
      <c r="AG90" s="650">
        <f t="shared" si="8"/>
        <v>44316.416583509075</v>
      </c>
      <c r="AH90" s="631" t="str">
        <f t="shared" si="9"/>
        <v>catégorie 1</v>
      </c>
      <c r="AI90" s="631"/>
    </row>
    <row r="91" spans="1:35" ht="14">
      <c r="A91" t="s">
        <v>689</v>
      </c>
      <c r="B91" s="645" t="s">
        <v>47</v>
      </c>
      <c r="C91" s="651">
        <v>25185</v>
      </c>
      <c r="D91" s="652">
        <v>37099</v>
      </c>
      <c r="E91" s="473" t="s">
        <v>501</v>
      </c>
      <c r="F91" s="1029" t="s">
        <v>50</v>
      </c>
      <c r="G91" s="472" t="s">
        <v>395</v>
      </c>
      <c r="H91" s="472" t="s">
        <v>393</v>
      </c>
      <c r="I91" s="474" t="s">
        <v>22</v>
      </c>
      <c r="J91" s="474" t="s">
        <v>29</v>
      </c>
      <c r="K91" s="475" t="s">
        <v>43</v>
      </c>
      <c r="L91" s="861" t="str">
        <f t="shared" si="5"/>
        <v>salarié</v>
      </c>
      <c r="M91" s="485" t="s">
        <v>48</v>
      </c>
      <c r="N91" s="485" t="s">
        <v>0</v>
      </c>
      <c r="O91" s="486">
        <v>1</v>
      </c>
      <c r="P91" s="481" t="s">
        <v>58</v>
      </c>
      <c r="Q91" s="482" t="s">
        <v>30</v>
      </c>
      <c r="R91" s="478">
        <v>1</v>
      </c>
      <c r="S91" s="479">
        <v>7</v>
      </c>
      <c r="T91" s="1">
        <v>47920</v>
      </c>
      <c r="U91" s="656">
        <v>35335.765235019375</v>
      </c>
      <c r="V91" s="479">
        <v>100</v>
      </c>
      <c r="W91" s="483">
        <v>0</v>
      </c>
      <c r="X91" s="476">
        <v>0</v>
      </c>
      <c r="Y91" s="476">
        <v>1</v>
      </c>
      <c r="Z91" s="476">
        <v>0</v>
      </c>
      <c r="AA91" s="646" t="s">
        <v>997</v>
      </c>
      <c r="AB91" s="647">
        <f t="shared" si="6"/>
        <v>51</v>
      </c>
      <c r="AC91" s="647">
        <f t="shared" si="7"/>
        <v>19</v>
      </c>
      <c r="AD91" s="648" t="str">
        <f>IF(AB91="","",VLOOKUP(AB91,trancheage[],2,TRUE))</f>
        <v>50 ans et plus</v>
      </c>
      <c r="AE91" s="648" t="str">
        <f>IFERROR(VLOOKUP(AC91,trancheanciennete[],2,TRUE),"")</f>
        <v>5 : 20-24</v>
      </c>
      <c r="AF91" s="649" t="str">
        <f>IF(T91&gt;0,VLOOKUP(T91,Trancheremuneration[],2,TRUE),"")</f>
        <v>5 : + de 23 000</v>
      </c>
      <c r="AG91" s="650">
        <f t="shared" si="8"/>
        <v>35435.765235019375</v>
      </c>
      <c r="AH91" s="631" t="str">
        <f t="shared" si="9"/>
        <v>catégorie 2</v>
      </c>
      <c r="AI91" s="631"/>
    </row>
    <row r="92" spans="1:35" ht="14">
      <c r="A92" t="s">
        <v>690</v>
      </c>
      <c r="B92" s="645" t="s">
        <v>27</v>
      </c>
      <c r="C92" s="651">
        <v>24626</v>
      </c>
      <c r="D92" s="652">
        <v>37108</v>
      </c>
      <c r="E92" s="473" t="s">
        <v>501</v>
      </c>
      <c r="F92" s="1029" t="s">
        <v>3</v>
      </c>
      <c r="G92" s="472" t="s">
        <v>395</v>
      </c>
      <c r="H92" s="472" t="s">
        <v>392</v>
      </c>
      <c r="I92" s="474" t="s">
        <v>22</v>
      </c>
      <c r="J92" s="474" t="s">
        <v>29</v>
      </c>
      <c r="K92" s="475" t="s">
        <v>43</v>
      </c>
      <c r="L92" s="861" t="str">
        <f t="shared" si="5"/>
        <v>salarié</v>
      </c>
      <c r="M92" s="485" t="s">
        <v>42</v>
      </c>
      <c r="N92" s="485" t="s">
        <v>0</v>
      </c>
      <c r="O92" s="486">
        <v>1</v>
      </c>
      <c r="P92" s="481" t="s">
        <v>59</v>
      </c>
      <c r="Q92" s="482" t="s">
        <v>33</v>
      </c>
      <c r="R92" s="478">
        <v>1</v>
      </c>
      <c r="S92" s="479">
        <v>7</v>
      </c>
      <c r="T92" s="1">
        <v>35080</v>
      </c>
      <c r="U92" s="656">
        <v>35866.948722056019</v>
      </c>
      <c r="V92" s="479">
        <v>250</v>
      </c>
      <c r="W92" s="483">
        <v>1</v>
      </c>
      <c r="X92" s="476">
        <v>0</v>
      </c>
      <c r="Y92" s="476">
        <v>1</v>
      </c>
      <c r="Z92" s="476">
        <v>0</v>
      </c>
      <c r="AA92" s="646" t="s">
        <v>997</v>
      </c>
      <c r="AB92" s="647">
        <f t="shared" si="6"/>
        <v>53</v>
      </c>
      <c r="AC92" s="647">
        <f t="shared" si="7"/>
        <v>19</v>
      </c>
      <c r="AD92" s="648" t="str">
        <f>IF(AB92="","",VLOOKUP(AB92,trancheage[],2,TRUE))</f>
        <v>50 ans et plus</v>
      </c>
      <c r="AE92" s="648" t="str">
        <f>IFERROR(VLOOKUP(AC92,trancheanciennete[],2,TRUE),"")</f>
        <v>5 : 20-24</v>
      </c>
      <c r="AF92" s="649" t="str">
        <f>IF(T92&gt;0,VLOOKUP(T92,Trancheremuneration[],2,TRUE),"")</f>
        <v>5 : + de 23 000</v>
      </c>
      <c r="AG92" s="650">
        <f t="shared" si="8"/>
        <v>36116.948722056019</v>
      </c>
      <c r="AH92" s="631" t="str">
        <f t="shared" si="9"/>
        <v>catégorie 1</v>
      </c>
      <c r="AI92" s="631"/>
    </row>
    <row r="93" spans="1:35" ht="14">
      <c r="A93" t="s">
        <v>691</v>
      </c>
      <c r="B93" s="645" t="s">
        <v>47</v>
      </c>
      <c r="C93" s="651">
        <v>26237</v>
      </c>
      <c r="D93" s="652">
        <v>37111</v>
      </c>
      <c r="E93" s="473" t="s">
        <v>504</v>
      </c>
      <c r="F93" s="1029" t="s">
        <v>3</v>
      </c>
      <c r="G93" s="472" t="s">
        <v>396</v>
      </c>
      <c r="H93" s="472" t="s">
        <v>392</v>
      </c>
      <c r="I93" s="474" t="s">
        <v>23</v>
      </c>
      <c r="J93" s="474" t="s">
        <v>18</v>
      </c>
      <c r="K93" s="475" t="s">
        <v>36</v>
      </c>
      <c r="L93" s="861" t="str">
        <f t="shared" si="5"/>
        <v>salarié</v>
      </c>
      <c r="M93" s="485" t="s">
        <v>48</v>
      </c>
      <c r="N93" s="485" t="s">
        <v>0</v>
      </c>
      <c r="O93" s="486">
        <v>1</v>
      </c>
      <c r="P93" s="481" t="s">
        <v>58</v>
      </c>
      <c r="Q93" s="482" t="s">
        <v>34</v>
      </c>
      <c r="R93" s="478">
        <v>1</v>
      </c>
      <c r="S93" s="479">
        <v>28</v>
      </c>
      <c r="T93" s="1">
        <v>32920</v>
      </c>
      <c r="U93" s="656">
        <v>18078.426723453955</v>
      </c>
      <c r="V93" s="479">
        <v>250</v>
      </c>
      <c r="W93" s="483">
        <v>1</v>
      </c>
      <c r="X93" s="476">
        <v>0</v>
      </c>
      <c r="Y93" s="476">
        <v>1</v>
      </c>
      <c r="Z93" s="476">
        <v>0</v>
      </c>
      <c r="AA93" s="646" t="s">
        <v>997</v>
      </c>
      <c r="AB93" s="647">
        <f t="shared" si="6"/>
        <v>48</v>
      </c>
      <c r="AC93" s="647">
        <f t="shared" si="7"/>
        <v>19</v>
      </c>
      <c r="AD93" s="648" t="str">
        <f>IF(AB93="","",VLOOKUP(AB93,trancheage[],2,TRUE))</f>
        <v>40 à 49 ans</v>
      </c>
      <c r="AE93" s="648" t="str">
        <f>IFERROR(VLOOKUP(AC93,trancheanciennete[],2,TRUE),"")</f>
        <v>5 : 20-24</v>
      </c>
      <c r="AF93" s="649" t="str">
        <f>IF(T93&gt;0,VLOOKUP(T93,Trancheremuneration[],2,TRUE),"")</f>
        <v>5 : + de 23 000</v>
      </c>
      <c r="AG93" s="650">
        <f t="shared" si="8"/>
        <v>18328.426723453955</v>
      </c>
      <c r="AH93" s="631" t="str">
        <f t="shared" si="9"/>
        <v>catégorie 1</v>
      </c>
      <c r="AI93" s="631"/>
    </row>
    <row r="94" spans="1:35" ht="14">
      <c r="A94" t="s">
        <v>692</v>
      </c>
      <c r="B94" s="645" t="s">
        <v>47</v>
      </c>
      <c r="C94" s="651">
        <v>21882</v>
      </c>
      <c r="D94" s="652">
        <v>37223</v>
      </c>
      <c r="E94" s="473" t="s">
        <v>501</v>
      </c>
      <c r="F94" s="1029" t="s">
        <v>49</v>
      </c>
      <c r="G94" s="472" t="s">
        <v>397</v>
      </c>
      <c r="H94" s="472" t="s">
        <v>392</v>
      </c>
      <c r="I94" s="474" t="s">
        <v>22</v>
      </c>
      <c r="J94" s="474" t="s">
        <v>29</v>
      </c>
      <c r="K94" s="475" t="s">
        <v>43</v>
      </c>
      <c r="L94" s="861" t="str">
        <f t="shared" si="5"/>
        <v>salarié</v>
      </c>
      <c r="M94" s="485" t="s">
        <v>40</v>
      </c>
      <c r="N94" s="485" t="s">
        <v>0</v>
      </c>
      <c r="O94" s="486">
        <v>1</v>
      </c>
      <c r="P94" s="481" t="s">
        <v>58</v>
      </c>
      <c r="Q94" s="482" t="s">
        <v>33</v>
      </c>
      <c r="R94" s="478">
        <v>1</v>
      </c>
      <c r="S94" s="479">
        <v>14</v>
      </c>
      <c r="T94" s="1">
        <v>14320</v>
      </c>
      <c r="U94" s="656">
        <v>46671.203665014938</v>
      </c>
      <c r="V94" s="479">
        <v>250</v>
      </c>
      <c r="W94" s="483">
        <v>1</v>
      </c>
      <c r="X94" s="476">
        <v>0</v>
      </c>
      <c r="Y94" s="476">
        <v>0</v>
      </c>
      <c r="Z94" s="476">
        <v>0</v>
      </c>
      <c r="AA94" s="646" t="s">
        <v>997</v>
      </c>
      <c r="AB94" s="647">
        <f t="shared" si="6"/>
        <v>60</v>
      </c>
      <c r="AC94" s="647">
        <f t="shared" si="7"/>
        <v>18</v>
      </c>
      <c r="AD94" s="648" t="str">
        <f>IF(AB94="","",VLOOKUP(AB94,trancheage[],2,TRUE))</f>
        <v>50 ans et plus</v>
      </c>
      <c r="AE94" s="648" t="str">
        <f>IFERROR(VLOOKUP(AC94,trancheanciennete[],2,TRUE),"")</f>
        <v>4 : 15-19</v>
      </c>
      <c r="AF94" s="649" t="str">
        <f>IF(T94&gt;0,VLOOKUP(T94,Trancheremuneration[],2,TRUE),"")</f>
        <v>2:14 000-17 000</v>
      </c>
      <c r="AG94" s="650">
        <f t="shared" si="8"/>
        <v>46921.203665014938</v>
      </c>
      <c r="AH94" s="631" t="str">
        <f t="shared" si="9"/>
        <v>catégorie 1</v>
      </c>
      <c r="AI94" s="631"/>
    </row>
    <row r="95" spans="1:35" ht="14">
      <c r="A95" t="s">
        <v>693</v>
      </c>
      <c r="B95" s="645" t="s">
        <v>47</v>
      </c>
      <c r="C95" s="651">
        <v>29074</v>
      </c>
      <c r="D95" s="652">
        <v>37319</v>
      </c>
      <c r="E95" s="473" t="s">
        <v>501</v>
      </c>
      <c r="F95" s="1029" t="s">
        <v>50</v>
      </c>
      <c r="G95" s="472" t="s">
        <v>398</v>
      </c>
      <c r="H95" s="472" t="s">
        <v>392</v>
      </c>
      <c r="I95" s="474" t="s">
        <v>22</v>
      </c>
      <c r="J95" s="474" t="s">
        <v>28</v>
      </c>
      <c r="K95" s="475" t="s">
        <v>43</v>
      </c>
      <c r="L95" s="861" t="str">
        <f t="shared" si="5"/>
        <v>salarié</v>
      </c>
      <c r="M95" s="483" t="s">
        <v>48</v>
      </c>
      <c r="N95" s="483" t="s">
        <v>0</v>
      </c>
      <c r="O95" s="486">
        <v>1</v>
      </c>
      <c r="P95" s="481" t="s">
        <v>58</v>
      </c>
      <c r="Q95" s="482" t="s">
        <v>31</v>
      </c>
      <c r="R95" s="478">
        <v>0</v>
      </c>
      <c r="S95" s="479">
        <v>7</v>
      </c>
      <c r="T95" s="1">
        <v>46600</v>
      </c>
      <c r="U95" s="656">
        <v>61257.913039472201</v>
      </c>
      <c r="V95" s="479">
        <v>500</v>
      </c>
      <c r="W95" s="483">
        <v>0</v>
      </c>
      <c r="X95" s="476">
        <v>1</v>
      </c>
      <c r="Y95" s="476">
        <v>0</v>
      </c>
      <c r="Z95" s="476">
        <v>0</v>
      </c>
      <c r="AA95" s="646" t="s">
        <v>997</v>
      </c>
      <c r="AB95" s="647">
        <f t="shared" si="6"/>
        <v>41</v>
      </c>
      <c r="AC95" s="647">
        <f t="shared" si="7"/>
        <v>18</v>
      </c>
      <c r="AD95" s="648" t="str">
        <f>IF(AB95="","",VLOOKUP(AB95,trancheage[],2,TRUE))</f>
        <v>40 à 49 ans</v>
      </c>
      <c r="AE95" s="648" t="str">
        <f>IFERROR(VLOOKUP(AC95,trancheanciennete[],2,TRUE),"")</f>
        <v>4 : 15-19</v>
      </c>
      <c r="AF95" s="649" t="str">
        <f>IF(T95&gt;0,VLOOKUP(T95,Trancheremuneration[],2,TRUE),"")</f>
        <v>5 : + de 23 000</v>
      </c>
      <c r="AG95" s="650">
        <f t="shared" si="8"/>
        <v>61757.913039472201</v>
      </c>
      <c r="AH95" s="631" t="str">
        <f t="shared" si="9"/>
        <v>catégorie 1</v>
      </c>
      <c r="AI95" s="631"/>
    </row>
    <row r="96" spans="1:35" ht="14">
      <c r="A96" t="s">
        <v>694</v>
      </c>
      <c r="B96" s="645" t="s">
        <v>47</v>
      </c>
      <c r="C96" s="651">
        <v>22568</v>
      </c>
      <c r="D96" s="652">
        <v>37336</v>
      </c>
      <c r="E96" s="473" t="s">
        <v>501</v>
      </c>
      <c r="F96" s="1029" t="s">
        <v>3</v>
      </c>
      <c r="G96" s="472" t="s">
        <v>399</v>
      </c>
      <c r="H96" s="472" t="s">
        <v>393</v>
      </c>
      <c r="I96" s="474" t="s">
        <v>22</v>
      </c>
      <c r="J96" s="474" t="s">
        <v>28</v>
      </c>
      <c r="K96" s="475" t="s">
        <v>43</v>
      </c>
      <c r="L96" s="861" t="str">
        <f t="shared" si="5"/>
        <v>salarié</v>
      </c>
      <c r="M96" s="483" t="s">
        <v>48</v>
      </c>
      <c r="N96" s="483" t="s">
        <v>0</v>
      </c>
      <c r="O96" s="486">
        <v>1</v>
      </c>
      <c r="P96" s="481" t="s">
        <v>58</v>
      </c>
      <c r="Q96" s="482" t="s">
        <v>31</v>
      </c>
      <c r="R96" s="478">
        <v>1</v>
      </c>
      <c r="S96" s="479">
        <v>0</v>
      </c>
      <c r="T96" s="1">
        <v>53800</v>
      </c>
      <c r="U96" s="656">
        <v>14966.646053739798</v>
      </c>
      <c r="V96" s="479">
        <v>250</v>
      </c>
      <c r="W96" s="483">
        <v>1</v>
      </c>
      <c r="X96" s="476">
        <v>1</v>
      </c>
      <c r="Y96" s="476">
        <v>0</v>
      </c>
      <c r="Z96" s="476">
        <v>0</v>
      </c>
      <c r="AA96" s="646" t="s">
        <v>997</v>
      </c>
      <c r="AB96" s="647">
        <f t="shared" si="6"/>
        <v>58</v>
      </c>
      <c r="AC96" s="647">
        <f t="shared" si="7"/>
        <v>18</v>
      </c>
      <c r="AD96" s="648" t="str">
        <f>IF(AB96="","",VLOOKUP(AB96,trancheage[],2,TRUE))</f>
        <v>50 ans et plus</v>
      </c>
      <c r="AE96" s="648" t="str">
        <f>IFERROR(VLOOKUP(AC96,trancheanciennete[],2,TRUE),"")</f>
        <v>4 : 15-19</v>
      </c>
      <c r="AF96" s="649" t="str">
        <f>IF(T96&gt;0,VLOOKUP(T96,Trancheremuneration[],2,TRUE),"")</f>
        <v>5 : + de 23 000</v>
      </c>
      <c r="AG96" s="650">
        <f t="shared" si="8"/>
        <v>15216.646053739798</v>
      </c>
      <c r="AH96" s="631" t="str">
        <f t="shared" si="9"/>
        <v>catégorie 2</v>
      </c>
      <c r="AI96" s="631"/>
    </row>
    <row r="97" spans="1:35" ht="14">
      <c r="A97" t="s">
        <v>614</v>
      </c>
      <c r="B97" s="645" t="s">
        <v>47</v>
      </c>
      <c r="C97" s="651">
        <v>21984</v>
      </c>
      <c r="D97" s="652">
        <v>37431</v>
      </c>
      <c r="E97" s="473" t="s">
        <v>504</v>
      </c>
      <c r="F97" s="1029" t="s">
        <v>50</v>
      </c>
      <c r="G97" s="472" t="s">
        <v>395</v>
      </c>
      <c r="H97" s="472" t="s">
        <v>394</v>
      </c>
      <c r="I97" s="474" t="s">
        <v>23</v>
      </c>
      <c r="J97" s="474" t="s">
        <v>18</v>
      </c>
      <c r="K97" s="475" t="s">
        <v>305</v>
      </c>
      <c r="L97" s="861" t="str">
        <f t="shared" si="5"/>
        <v>salarié</v>
      </c>
      <c r="M97" s="485" t="s">
        <v>48</v>
      </c>
      <c r="N97" s="485" t="s">
        <v>0</v>
      </c>
      <c r="O97" s="486">
        <v>1</v>
      </c>
      <c r="P97" s="481" t="s">
        <v>58</v>
      </c>
      <c r="Q97" s="482" t="s">
        <v>39</v>
      </c>
      <c r="R97" s="478">
        <v>1</v>
      </c>
      <c r="S97" s="479">
        <v>0</v>
      </c>
      <c r="T97" s="1">
        <v>12400</v>
      </c>
      <c r="U97" s="656">
        <v>60375.927003436787</v>
      </c>
      <c r="V97" s="479">
        <v>250</v>
      </c>
      <c r="W97" s="483">
        <v>1</v>
      </c>
      <c r="X97" s="476">
        <v>0</v>
      </c>
      <c r="Y97" s="476">
        <v>0</v>
      </c>
      <c r="Z97" s="476">
        <v>0</v>
      </c>
      <c r="AA97" s="646" t="s">
        <v>997</v>
      </c>
      <c r="AB97" s="647">
        <f t="shared" si="6"/>
        <v>60</v>
      </c>
      <c r="AC97" s="647">
        <f t="shared" si="7"/>
        <v>18</v>
      </c>
      <c r="AD97" s="648" t="str">
        <f>IF(AB97="","",VLOOKUP(AB97,trancheage[],2,TRUE))</f>
        <v>50 ans et plus</v>
      </c>
      <c r="AE97" s="648" t="str">
        <f>IFERROR(VLOOKUP(AC97,trancheanciennete[],2,TRUE),"")</f>
        <v>4 : 15-19</v>
      </c>
      <c r="AF97" s="649" t="str">
        <f>IF(T97&gt;0,VLOOKUP(T97,Trancheremuneration[],2,TRUE),"")</f>
        <v>1:7 000-14 000</v>
      </c>
      <c r="AG97" s="650">
        <f t="shared" si="8"/>
        <v>60625.927003436787</v>
      </c>
      <c r="AH97" s="631" t="str">
        <f t="shared" si="9"/>
        <v>catégorie 3</v>
      </c>
      <c r="AI97" s="631"/>
    </row>
    <row r="98" spans="1:35" ht="14">
      <c r="A98" t="s">
        <v>695</v>
      </c>
      <c r="B98" s="645" t="s">
        <v>27</v>
      </c>
      <c r="C98" s="651">
        <v>32008</v>
      </c>
      <c r="D98" s="652">
        <v>37517</v>
      </c>
      <c r="E98" s="473" t="s">
        <v>503</v>
      </c>
      <c r="F98" s="1029" t="s">
        <v>50</v>
      </c>
      <c r="G98" s="472" t="s">
        <v>395</v>
      </c>
      <c r="H98" s="472" t="s">
        <v>393</v>
      </c>
      <c r="I98" s="474" t="s">
        <v>23</v>
      </c>
      <c r="J98" s="474" t="s">
        <v>18</v>
      </c>
      <c r="K98" s="475" t="s">
        <v>303</v>
      </c>
      <c r="L98" s="861" t="str">
        <f t="shared" si="5"/>
        <v>salarié</v>
      </c>
      <c r="M98" s="485" t="s">
        <v>42</v>
      </c>
      <c r="N98" s="485" t="s">
        <v>0</v>
      </c>
      <c r="O98" s="486">
        <v>0.8</v>
      </c>
      <c r="P98" s="481" t="s">
        <v>59</v>
      </c>
      <c r="Q98" s="482" t="s">
        <v>30</v>
      </c>
      <c r="R98" s="478">
        <v>0</v>
      </c>
      <c r="S98" s="479">
        <v>0</v>
      </c>
      <c r="T98" s="1">
        <v>63400</v>
      </c>
      <c r="U98" s="656">
        <v>31074.922590084563</v>
      </c>
      <c r="V98" s="479">
        <v>250</v>
      </c>
      <c r="W98" s="483">
        <v>0</v>
      </c>
      <c r="X98" s="476">
        <v>0</v>
      </c>
      <c r="Y98" s="476">
        <v>0</v>
      </c>
      <c r="Z98" s="476">
        <v>0</v>
      </c>
      <c r="AA98" s="646" t="s">
        <v>997</v>
      </c>
      <c r="AB98" s="647">
        <f t="shared" si="6"/>
        <v>33</v>
      </c>
      <c r="AC98" s="647">
        <f t="shared" si="7"/>
        <v>17</v>
      </c>
      <c r="AD98" s="648" t="str">
        <f>IF(AB98="","",VLOOKUP(AB98,trancheage[],2,TRUE))</f>
        <v>30 à 39 ans</v>
      </c>
      <c r="AE98" s="648" t="str">
        <f>IFERROR(VLOOKUP(AC98,trancheanciennete[],2,TRUE),"")</f>
        <v>4 : 15-19</v>
      </c>
      <c r="AF98" s="649" t="str">
        <f>IF(T98&gt;0,VLOOKUP(T98,Trancheremuneration[],2,TRUE),"")</f>
        <v>5 : + de 23 000</v>
      </c>
      <c r="AG98" s="650">
        <f t="shared" si="8"/>
        <v>37539.907108101477</v>
      </c>
      <c r="AH98" s="631" t="str">
        <f t="shared" si="9"/>
        <v>catégorie 2</v>
      </c>
      <c r="AI98" s="631"/>
    </row>
    <row r="99" spans="1:35" ht="14">
      <c r="A99" t="s">
        <v>696</v>
      </c>
      <c r="B99" s="645" t="s">
        <v>47</v>
      </c>
      <c r="C99" s="651">
        <v>31451</v>
      </c>
      <c r="D99" s="652">
        <v>37553</v>
      </c>
      <c r="E99" s="473" t="s">
        <v>501</v>
      </c>
      <c r="F99" s="1029" t="s">
        <v>3</v>
      </c>
      <c r="G99" s="472" t="s">
        <v>396</v>
      </c>
      <c r="H99" s="472" t="s">
        <v>394</v>
      </c>
      <c r="I99" s="474" t="s">
        <v>22</v>
      </c>
      <c r="J99" s="474" t="s">
        <v>28</v>
      </c>
      <c r="K99" s="475" t="s">
        <v>43</v>
      </c>
      <c r="L99" s="861" t="str">
        <f t="shared" si="5"/>
        <v>salarié</v>
      </c>
      <c r="M99" s="485" t="s">
        <v>48</v>
      </c>
      <c r="N99" s="485" t="s">
        <v>1</v>
      </c>
      <c r="O99" s="486">
        <v>0.8</v>
      </c>
      <c r="P99" s="481" t="s">
        <v>59</v>
      </c>
      <c r="Q99" s="482" t="s">
        <v>30</v>
      </c>
      <c r="R99" s="478">
        <v>0</v>
      </c>
      <c r="S99" s="479">
        <v>0</v>
      </c>
      <c r="T99" s="1">
        <v>37240</v>
      </c>
      <c r="U99" s="656">
        <v>30421.485326617185</v>
      </c>
      <c r="V99" s="479">
        <v>500</v>
      </c>
      <c r="W99" s="483">
        <v>0</v>
      </c>
      <c r="X99" s="476">
        <v>1</v>
      </c>
      <c r="Y99" s="476">
        <v>0</v>
      </c>
      <c r="Z99" s="476">
        <v>0</v>
      </c>
      <c r="AA99" s="646" t="s">
        <v>997</v>
      </c>
      <c r="AB99" s="647">
        <f t="shared" si="6"/>
        <v>34</v>
      </c>
      <c r="AC99" s="647">
        <f t="shared" si="7"/>
        <v>17</v>
      </c>
      <c r="AD99" s="648" t="str">
        <f>IF(AB99="","",VLOOKUP(AB99,trancheage[],2,TRUE))</f>
        <v>30 à 39 ans</v>
      </c>
      <c r="AE99" s="648" t="str">
        <f>IFERROR(VLOOKUP(AC99,trancheanciennete[],2,TRUE),"")</f>
        <v>4 : 15-19</v>
      </c>
      <c r="AF99" s="649" t="str">
        <f>IF(T99&gt;0,VLOOKUP(T99,Trancheremuneration[],2,TRUE),"")</f>
        <v>5 : + de 23 000</v>
      </c>
      <c r="AG99" s="650">
        <f t="shared" si="8"/>
        <v>37005.782391940622</v>
      </c>
      <c r="AH99" s="631" t="str">
        <f t="shared" si="9"/>
        <v>catégorie 3</v>
      </c>
      <c r="AI99" s="631"/>
    </row>
    <row r="100" spans="1:35" ht="14">
      <c r="A100" t="s">
        <v>697</v>
      </c>
      <c r="B100" s="645" t="s">
        <v>47</v>
      </c>
      <c r="C100" s="651">
        <v>31387</v>
      </c>
      <c r="D100" s="652">
        <v>37600</v>
      </c>
      <c r="E100" s="473" t="s">
        <v>501</v>
      </c>
      <c r="F100" s="1029" t="s">
        <v>3</v>
      </c>
      <c r="G100" s="472" t="s">
        <v>395</v>
      </c>
      <c r="H100" s="472" t="s">
        <v>392</v>
      </c>
      <c r="I100" s="474" t="s">
        <v>22</v>
      </c>
      <c r="J100" s="474" t="s">
        <v>28</v>
      </c>
      <c r="K100" s="475" t="s">
        <v>43</v>
      </c>
      <c r="L100" s="861" t="str">
        <f t="shared" si="5"/>
        <v>salarié</v>
      </c>
      <c r="M100" s="485" t="s">
        <v>42</v>
      </c>
      <c r="N100" s="485" t="s">
        <v>1</v>
      </c>
      <c r="O100" s="486">
        <v>1</v>
      </c>
      <c r="P100" s="481" t="s">
        <v>59</v>
      </c>
      <c r="Q100" s="482" t="s">
        <v>33</v>
      </c>
      <c r="R100" s="478">
        <v>1</v>
      </c>
      <c r="S100" s="479">
        <v>14</v>
      </c>
      <c r="T100" s="1">
        <v>31840</v>
      </c>
      <c r="U100" s="656">
        <v>12623.752744412501</v>
      </c>
      <c r="V100" s="479">
        <v>250</v>
      </c>
      <c r="W100" s="483">
        <v>1</v>
      </c>
      <c r="X100" s="476">
        <v>0</v>
      </c>
      <c r="Y100" s="476">
        <v>1</v>
      </c>
      <c r="Z100" s="476">
        <v>0</v>
      </c>
      <c r="AA100" s="646" t="s">
        <v>997</v>
      </c>
      <c r="AB100" s="647">
        <f t="shared" si="6"/>
        <v>34</v>
      </c>
      <c r="AC100" s="647">
        <f t="shared" si="7"/>
        <v>17</v>
      </c>
      <c r="AD100" s="648" t="str">
        <f>IF(AB100="","",VLOOKUP(AB100,trancheage[],2,TRUE))</f>
        <v>30 à 39 ans</v>
      </c>
      <c r="AE100" s="648" t="str">
        <f>IFERROR(VLOOKUP(AC100,trancheanciennete[],2,TRUE),"")</f>
        <v>4 : 15-19</v>
      </c>
      <c r="AF100" s="649" t="str">
        <f>IF(T100&gt;0,VLOOKUP(T100,Trancheremuneration[],2,TRUE),"")</f>
        <v>5 : + de 23 000</v>
      </c>
      <c r="AG100" s="650">
        <f t="shared" si="8"/>
        <v>12873.752744412501</v>
      </c>
      <c r="AH100" s="631" t="str">
        <f t="shared" si="9"/>
        <v>catégorie 1</v>
      </c>
      <c r="AI100" s="631"/>
    </row>
    <row r="101" spans="1:35" ht="14">
      <c r="A101" t="s">
        <v>698</v>
      </c>
      <c r="B101" s="645" t="s">
        <v>47</v>
      </c>
      <c r="C101" s="651">
        <v>30509</v>
      </c>
      <c r="D101" s="652">
        <v>37611</v>
      </c>
      <c r="E101" s="473" t="s">
        <v>501</v>
      </c>
      <c r="F101" s="1029" t="s">
        <v>3</v>
      </c>
      <c r="G101" s="472" t="s">
        <v>397</v>
      </c>
      <c r="H101" s="472" t="s">
        <v>392</v>
      </c>
      <c r="I101" s="474" t="s">
        <v>22</v>
      </c>
      <c r="J101" s="474" t="s">
        <v>28</v>
      </c>
      <c r="K101" s="475" t="s">
        <v>43</v>
      </c>
      <c r="L101" s="861" t="str">
        <f t="shared" si="5"/>
        <v>salarié</v>
      </c>
      <c r="M101" s="485" t="s">
        <v>48</v>
      </c>
      <c r="N101" s="485" t="s">
        <v>1</v>
      </c>
      <c r="O101" s="486">
        <v>1</v>
      </c>
      <c r="P101" s="481" t="s">
        <v>59</v>
      </c>
      <c r="Q101" s="482" t="s">
        <v>33</v>
      </c>
      <c r="R101" s="478">
        <v>1</v>
      </c>
      <c r="S101" s="479">
        <v>14</v>
      </c>
      <c r="T101" s="1">
        <v>10720</v>
      </c>
      <c r="U101" s="656">
        <v>31945.148853956838</v>
      </c>
      <c r="V101" s="479">
        <v>250</v>
      </c>
      <c r="W101" s="483">
        <v>1</v>
      </c>
      <c r="X101" s="476">
        <v>0</v>
      </c>
      <c r="Y101" s="476">
        <v>0</v>
      </c>
      <c r="Z101" s="476">
        <v>0</v>
      </c>
      <c r="AA101" s="646" t="s">
        <v>997</v>
      </c>
      <c r="AB101" s="647">
        <f t="shared" si="6"/>
        <v>37</v>
      </c>
      <c r="AC101" s="647">
        <f t="shared" si="7"/>
        <v>17</v>
      </c>
      <c r="AD101" s="648" t="str">
        <f>IF(AB101="","",VLOOKUP(AB101,trancheage[],2,TRUE))</f>
        <v>30 à 39 ans</v>
      </c>
      <c r="AE101" s="648" t="str">
        <f>IFERROR(VLOOKUP(AC101,trancheanciennete[],2,TRUE),"")</f>
        <v>4 : 15-19</v>
      </c>
      <c r="AF101" s="649" t="str">
        <f>IF(T101&gt;0,VLOOKUP(T101,Trancheremuneration[],2,TRUE),"")</f>
        <v>1:7 000-14 000</v>
      </c>
      <c r="AG101" s="650">
        <f t="shared" si="8"/>
        <v>32195.148853956838</v>
      </c>
      <c r="AH101" s="631" t="str">
        <f t="shared" si="9"/>
        <v>catégorie 1</v>
      </c>
      <c r="AI101" s="631"/>
    </row>
    <row r="102" spans="1:35" ht="14">
      <c r="A102" t="s">
        <v>699</v>
      </c>
      <c r="B102" s="645" t="s">
        <v>47</v>
      </c>
      <c r="C102" s="651">
        <v>30880</v>
      </c>
      <c r="D102" s="652">
        <v>37620</v>
      </c>
      <c r="E102" s="473" t="s">
        <v>502</v>
      </c>
      <c r="F102" s="1029" t="s">
        <v>50</v>
      </c>
      <c r="G102" s="472" t="s">
        <v>398</v>
      </c>
      <c r="H102" s="472" t="s">
        <v>394</v>
      </c>
      <c r="I102" s="474" t="s">
        <v>22</v>
      </c>
      <c r="J102" s="474" t="s">
        <v>28</v>
      </c>
      <c r="K102" s="475" t="s">
        <v>56</v>
      </c>
      <c r="L102" s="861" t="str">
        <f t="shared" si="5"/>
        <v>salarié</v>
      </c>
      <c r="M102" s="485" t="s">
        <v>48</v>
      </c>
      <c r="N102" s="485" t="s">
        <v>1</v>
      </c>
      <c r="O102" s="486">
        <v>0.5</v>
      </c>
      <c r="P102" s="481" t="s">
        <v>59</v>
      </c>
      <c r="Q102" s="482" t="s">
        <v>31</v>
      </c>
      <c r="R102" s="478">
        <v>0</v>
      </c>
      <c r="S102" s="479">
        <v>0</v>
      </c>
      <c r="T102" s="1">
        <v>26800</v>
      </c>
      <c r="U102" s="656">
        <v>16119.789856479762</v>
      </c>
      <c r="V102" s="479">
        <v>250</v>
      </c>
      <c r="W102" s="483">
        <v>0</v>
      </c>
      <c r="X102" s="476">
        <v>1</v>
      </c>
      <c r="Y102" s="476">
        <v>0</v>
      </c>
      <c r="Z102" s="476">
        <v>0</v>
      </c>
      <c r="AA102" s="646" t="s">
        <v>997</v>
      </c>
      <c r="AB102" s="647">
        <f t="shared" si="6"/>
        <v>36</v>
      </c>
      <c r="AC102" s="647">
        <f t="shared" si="7"/>
        <v>17</v>
      </c>
      <c r="AD102" s="648" t="str">
        <f>IF(AB102="","",VLOOKUP(AB102,trancheage[],2,TRUE))</f>
        <v>30 à 39 ans</v>
      </c>
      <c r="AE102" s="648" t="str">
        <f>IFERROR(VLOOKUP(AC102,trancheanciennete[],2,TRUE),"")</f>
        <v>4 : 15-19</v>
      </c>
      <c r="AF102" s="649" t="str">
        <f>IF(T102&gt;0,VLOOKUP(T102,Trancheremuneration[],2,TRUE),"")</f>
        <v>5 : + de 23 000</v>
      </c>
      <c r="AG102" s="650">
        <f t="shared" si="8"/>
        <v>24429.68478471964</v>
      </c>
      <c r="AH102" s="631" t="str">
        <f t="shared" si="9"/>
        <v>catégorie 3</v>
      </c>
      <c r="AI102" s="631"/>
    </row>
    <row r="103" spans="1:35" ht="14">
      <c r="A103" t="s">
        <v>700</v>
      </c>
      <c r="B103" s="645" t="s">
        <v>27</v>
      </c>
      <c r="C103" s="651">
        <v>31931</v>
      </c>
      <c r="D103" s="652">
        <v>37632</v>
      </c>
      <c r="E103" s="473" t="s">
        <v>505</v>
      </c>
      <c r="F103" s="1029" t="s">
        <v>3</v>
      </c>
      <c r="G103" s="472" t="s">
        <v>399</v>
      </c>
      <c r="H103" s="472" t="s">
        <v>394</v>
      </c>
      <c r="I103" s="474" t="s">
        <v>22</v>
      </c>
      <c r="J103" s="474" t="s">
        <v>28</v>
      </c>
      <c r="K103" s="475" t="s">
        <v>35</v>
      </c>
      <c r="L103" s="861" t="str">
        <f t="shared" si="5"/>
        <v>salarié</v>
      </c>
      <c r="M103" s="485" t="s">
        <v>48</v>
      </c>
      <c r="N103" s="485" t="s">
        <v>1</v>
      </c>
      <c r="O103" s="486">
        <v>0.8</v>
      </c>
      <c r="P103" s="481" t="s">
        <v>59</v>
      </c>
      <c r="Q103" s="482" t="s">
        <v>31</v>
      </c>
      <c r="R103" s="478">
        <v>0</v>
      </c>
      <c r="S103" s="479">
        <v>0</v>
      </c>
      <c r="T103" s="1">
        <v>16000</v>
      </c>
      <c r="U103" s="656">
        <v>46799.381113835698</v>
      </c>
      <c r="V103" s="479">
        <v>250</v>
      </c>
      <c r="W103" s="483">
        <v>0</v>
      </c>
      <c r="X103" s="476">
        <v>1</v>
      </c>
      <c r="Y103" s="476">
        <v>0</v>
      </c>
      <c r="Z103" s="476">
        <v>0</v>
      </c>
      <c r="AA103" s="646" t="s">
        <v>997</v>
      </c>
      <c r="AB103" s="647">
        <f t="shared" si="6"/>
        <v>33</v>
      </c>
      <c r="AC103" s="647">
        <f t="shared" si="7"/>
        <v>17</v>
      </c>
      <c r="AD103" s="648" t="str">
        <f>IF(AB103="","",VLOOKUP(AB103,trancheage[],2,TRUE))</f>
        <v>30 à 39 ans</v>
      </c>
      <c r="AE103" s="648" t="str">
        <f>IFERROR(VLOOKUP(AC103,trancheanciennete[],2,TRUE),"")</f>
        <v>4 : 15-19</v>
      </c>
      <c r="AF103" s="649" t="str">
        <f>IF(T103&gt;0,VLOOKUP(T103,Trancheremuneration[],2,TRUE),"")</f>
        <v>2:14 000-17 000</v>
      </c>
      <c r="AG103" s="650">
        <f t="shared" si="8"/>
        <v>56409.257336602837</v>
      </c>
      <c r="AH103" s="631" t="str">
        <f t="shared" si="9"/>
        <v>catégorie 3</v>
      </c>
      <c r="AI103" s="631"/>
    </row>
    <row r="104" spans="1:35" ht="14">
      <c r="A104" t="s">
        <v>613</v>
      </c>
      <c r="B104" s="645" t="s">
        <v>27</v>
      </c>
      <c r="C104" s="651">
        <v>23060</v>
      </c>
      <c r="D104" s="652">
        <v>37693</v>
      </c>
      <c r="E104" s="473" t="s">
        <v>501</v>
      </c>
      <c r="F104" s="1029" t="s">
        <v>3</v>
      </c>
      <c r="G104" s="472" t="s">
        <v>395</v>
      </c>
      <c r="H104" s="472" t="s">
        <v>393</v>
      </c>
      <c r="I104" s="474" t="s">
        <v>22</v>
      </c>
      <c r="J104" s="474" t="s">
        <v>28</v>
      </c>
      <c r="K104" s="475" t="s">
        <v>43</v>
      </c>
      <c r="L104" s="861" t="str">
        <f t="shared" si="5"/>
        <v>salarié</v>
      </c>
      <c r="M104" s="485" t="s">
        <v>48</v>
      </c>
      <c r="N104" s="485" t="s">
        <v>1</v>
      </c>
      <c r="O104" s="486">
        <v>0.8</v>
      </c>
      <c r="P104" s="481" t="s">
        <v>59</v>
      </c>
      <c r="Q104" s="482" t="s">
        <v>33</v>
      </c>
      <c r="R104" s="478">
        <v>1</v>
      </c>
      <c r="S104" s="479">
        <v>21</v>
      </c>
      <c r="T104" s="1">
        <v>47200</v>
      </c>
      <c r="U104" s="656">
        <v>46969.329868438814</v>
      </c>
      <c r="V104" s="479">
        <v>250</v>
      </c>
      <c r="W104" s="483">
        <v>1</v>
      </c>
      <c r="X104" s="476">
        <v>0</v>
      </c>
      <c r="Y104" s="476">
        <v>0</v>
      </c>
      <c r="Z104" s="476">
        <v>0</v>
      </c>
      <c r="AA104" s="646" t="s">
        <v>997</v>
      </c>
      <c r="AB104" s="647">
        <f t="shared" si="6"/>
        <v>57</v>
      </c>
      <c r="AC104" s="647">
        <f t="shared" si="7"/>
        <v>17</v>
      </c>
      <c r="AD104" s="648" t="str">
        <f>IF(AB104="","",VLOOKUP(AB104,trancheage[],2,TRUE))</f>
        <v>50 ans et plus</v>
      </c>
      <c r="AE104" s="648" t="str">
        <f>IFERROR(VLOOKUP(AC104,trancheanciennete[],2,TRUE),"")</f>
        <v>4 : 15-19</v>
      </c>
      <c r="AF104" s="649" t="str">
        <f>IF(T104&gt;0,VLOOKUP(T104,Trancheremuneration[],2,TRUE),"")</f>
        <v>5 : + de 23 000</v>
      </c>
      <c r="AG104" s="650">
        <f t="shared" si="8"/>
        <v>56613.195842126574</v>
      </c>
      <c r="AH104" s="631" t="str">
        <f t="shared" si="9"/>
        <v>catégorie 2</v>
      </c>
      <c r="AI104" s="631"/>
    </row>
    <row r="105" spans="1:35" ht="14">
      <c r="A105" t="s">
        <v>701</v>
      </c>
      <c r="B105" s="645" t="s">
        <v>27</v>
      </c>
      <c r="C105" s="651">
        <v>22403</v>
      </c>
      <c r="D105" s="652">
        <v>37725</v>
      </c>
      <c r="E105" s="473" t="s">
        <v>501</v>
      </c>
      <c r="F105" s="1029" t="s">
        <v>3</v>
      </c>
      <c r="G105" s="472" t="s">
        <v>395</v>
      </c>
      <c r="H105" s="472" t="s">
        <v>393</v>
      </c>
      <c r="I105" s="474" t="s">
        <v>22</v>
      </c>
      <c r="J105" s="474" t="s">
        <v>29</v>
      </c>
      <c r="K105" s="475" t="s">
        <v>43</v>
      </c>
      <c r="L105" s="861" t="str">
        <f t="shared" si="5"/>
        <v>salarié</v>
      </c>
      <c r="M105" s="485" t="s">
        <v>48</v>
      </c>
      <c r="N105" s="485" t="s">
        <v>1</v>
      </c>
      <c r="O105" s="486">
        <v>0.8</v>
      </c>
      <c r="P105" s="481" t="s">
        <v>59</v>
      </c>
      <c r="Q105" s="482" t="s">
        <v>32</v>
      </c>
      <c r="R105" s="478">
        <v>0</v>
      </c>
      <c r="S105" s="479">
        <v>0</v>
      </c>
      <c r="T105" s="1">
        <v>40000</v>
      </c>
      <c r="U105" s="656">
        <v>30976.765468004931</v>
      </c>
      <c r="V105" s="479">
        <v>250</v>
      </c>
      <c r="W105" s="483">
        <v>0</v>
      </c>
      <c r="X105" s="476">
        <v>1</v>
      </c>
      <c r="Y105" s="476">
        <v>0</v>
      </c>
      <c r="Z105" s="476">
        <v>0</v>
      </c>
      <c r="AA105" s="646" t="s">
        <v>997</v>
      </c>
      <c r="AB105" s="647">
        <f t="shared" si="6"/>
        <v>59</v>
      </c>
      <c r="AC105" s="647">
        <f t="shared" si="7"/>
        <v>17</v>
      </c>
      <c r="AD105" s="648" t="str">
        <f>IF(AB105="","",VLOOKUP(AB105,trancheage[],2,TRUE))</f>
        <v>50 ans et plus</v>
      </c>
      <c r="AE105" s="648" t="str">
        <f>IFERROR(VLOOKUP(AC105,trancheanciennete[],2,TRUE),"")</f>
        <v>4 : 15-19</v>
      </c>
      <c r="AF105" s="649" t="str">
        <f>IF(T105&gt;0,VLOOKUP(T105,Trancheremuneration[],2,TRUE),"")</f>
        <v>5 : + de 23 000</v>
      </c>
      <c r="AG105" s="650">
        <f t="shared" si="8"/>
        <v>37422.118561605916</v>
      </c>
      <c r="AH105" s="631" t="str">
        <f t="shared" si="9"/>
        <v>catégorie 2</v>
      </c>
      <c r="AI105" s="631"/>
    </row>
    <row r="106" spans="1:35" ht="14">
      <c r="A106" t="s">
        <v>702</v>
      </c>
      <c r="B106" s="645" t="s">
        <v>47</v>
      </c>
      <c r="C106" s="651">
        <v>30097</v>
      </c>
      <c r="D106" s="652">
        <v>37731</v>
      </c>
      <c r="E106" s="473" t="s">
        <v>505</v>
      </c>
      <c r="F106" s="1029" t="s">
        <v>3</v>
      </c>
      <c r="G106" s="472" t="s">
        <v>396</v>
      </c>
      <c r="H106" s="472" t="s">
        <v>393</v>
      </c>
      <c r="I106" s="474" t="s">
        <v>38</v>
      </c>
      <c r="J106" s="474" t="s">
        <v>284</v>
      </c>
      <c r="K106" s="475" t="s">
        <v>37</v>
      </c>
      <c r="L106" s="861" t="str">
        <f t="shared" si="5"/>
        <v>salarié</v>
      </c>
      <c r="M106" s="485" t="s">
        <v>48</v>
      </c>
      <c r="N106" s="485" t="s">
        <v>1</v>
      </c>
      <c r="O106" s="484">
        <v>0.8</v>
      </c>
      <c r="P106" s="476" t="s">
        <v>58</v>
      </c>
      <c r="Q106" s="477" t="s">
        <v>34</v>
      </c>
      <c r="R106" s="478">
        <v>1</v>
      </c>
      <c r="S106" s="479">
        <v>7</v>
      </c>
      <c r="T106" s="1">
        <v>36880</v>
      </c>
      <c r="U106" s="656">
        <v>52605.998578252838</v>
      </c>
      <c r="V106" s="479">
        <v>250</v>
      </c>
      <c r="W106" s="483">
        <v>1</v>
      </c>
      <c r="X106" s="476">
        <v>0</v>
      </c>
      <c r="Y106" s="476">
        <v>1</v>
      </c>
      <c r="Z106" s="476">
        <v>0</v>
      </c>
      <c r="AA106" s="646" t="s">
        <v>997</v>
      </c>
      <c r="AB106" s="647">
        <f t="shared" si="6"/>
        <v>38</v>
      </c>
      <c r="AC106" s="647">
        <f t="shared" si="7"/>
        <v>17</v>
      </c>
      <c r="AD106" s="648" t="str">
        <f>IF(AB106="","",VLOOKUP(AB106,trancheage[],2,TRUE))</f>
        <v>30 à 39 ans</v>
      </c>
      <c r="AE106" s="648" t="str">
        <f>IFERROR(VLOOKUP(AC106,trancheanciennete[],2,TRUE),"")</f>
        <v>4 : 15-19</v>
      </c>
      <c r="AF106" s="649" t="str">
        <f>IF(T106&gt;0,VLOOKUP(T106,Trancheremuneration[],2,TRUE),"")</f>
        <v>5 : + de 23 000</v>
      </c>
      <c r="AG106" s="650">
        <f t="shared" si="8"/>
        <v>63377.198293903406</v>
      </c>
      <c r="AH106" s="631" t="str">
        <f t="shared" si="9"/>
        <v>catégorie 2</v>
      </c>
      <c r="AI106" s="631"/>
    </row>
    <row r="107" spans="1:35" ht="14">
      <c r="A107" t="s">
        <v>703</v>
      </c>
      <c r="B107" s="645" t="s">
        <v>27</v>
      </c>
      <c r="C107" s="651">
        <v>21394</v>
      </c>
      <c r="D107" s="652">
        <v>37745</v>
      </c>
      <c r="E107" s="473" t="s">
        <v>501</v>
      </c>
      <c r="F107" s="1029" t="s">
        <v>50</v>
      </c>
      <c r="G107" s="472" t="s">
        <v>397</v>
      </c>
      <c r="H107" s="472" t="s">
        <v>393</v>
      </c>
      <c r="I107" s="474" t="s">
        <v>22</v>
      </c>
      <c r="J107" s="474" t="s">
        <v>29</v>
      </c>
      <c r="K107" s="475" t="s">
        <v>43</v>
      </c>
      <c r="L107" s="861" t="str">
        <f t="shared" si="5"/>
        <v>salarié</v>
      </c>
      <c r="M107" s="485" t="s">
        <v>48</v>
      </c>
      <c r="N107" s="485" t="s">
        <v>0</v>
      </c>
      <c r="O107" s="484">
        <v>0.5</v>
      </c>
      <c r="P107" s="476" t="s">
        <v>58</v>
      </c>
      <c r="Q107" s="477" t="s">
        <v>30</v>
      </c>
      <c r="R107" s="478">
        <v>0</v>
      </c>
      <c r="S107" s="479">
        <v>7</v>
      </c>
      <c r="T107" s="1">
        <v>64000</v>
      </c>
      <c r="U107" s="656">
        <v>46333.881914424732</v>
      </c>
      <c r="V107" s="479">
        <v>250</v>
      </c>
      <c r="W107" s="483">
        <v>0</v>
      </c>
      <c r="X107" s="476">
        <v>0</v>
      </c>
      <c r="Y107" s="476">
        <v>1</v>
      </c>
      <c r="Z107" s="476">
        <v>0</v>
      </c>
      <c r="AA107" s="646" t="s">
        <v>997</v>
      </c>
      <c r="AB107" s="647">
        <f t="shared" si="6"/>
        <v>62</v>
      </c>
      <c r="AC107" s="647">
        <f t="shared" si="7"/>
        <v>17</v>
      </c>
      <c r="AD107" s="648" t="str">
        <f>IF(AB107="","",VLOOKUP(AB107,trancheage[],2,TRUE))</f>
        <v>50 ans et plus</v>
      </c>
      <c r="AE107" s="648" t="str">
        <f>IFERROR(VLOOKUP(AC107,trancheanciennete[],2,TRUE),"")</f>
        <v>4 : 15-19</v>
      </c>
      <c r="AF107" s="649" t="str">
        <f>IF(T107&gt;0,VLOOKUP(T107,Trancheremuneration[],2,TRUE),"")</f>
        <v>5 : + de 23 000</v>
      </c>
      <c r="AG107" s="650">
        <f t="shared" si="8"/>
        <v>69750.822871637094</v>
      </c>
      <c r="AH107" s="631" t="str">
        <f t="shared" si="9"/>
        <v>catégorie 2</v>
      </c>
      <c r="AI107" s="631"/>
    </row>
    <row r="108" spans="1:35" ht="14">
      <c r="A108" t="s">
        <v>704</v>
      </c>
      <c r="B108" s="645" t="s">
        <v>27</v>
      </c>
      <c r="C108" s="651">
        <v>30156</v>
      </c>
      <c r="D108" s="652">
        <v>37790</v>
      </c>
      <c r="E108" s="473" t="s">
        <v>501</v>
      </c>
      <c r="F108" s="1029" t="s">
        <v>50</v>
      </c>
      <c r="G108" s="472" t="s">
        <v>398</v>
      </c>
      <c r="H108" s="472" t="s">
        <v>393</v>
      </c>
      <c r="I108" s="474" t="s">
        <v>22</v>
      </c>
      <c r="J108" s="474" t="s">
        <v>29</v>
      </c>
      <c r="K108" s="475" t="s">
        <v>43</v>
      </c>
      <c r="L108" s="861" t="str">
        <f t="shared" si="5"/>
        <v>salarié</v>
      </c>
      <c r="M108" s="485" t="s">
        <v>48</v>
      </c>
      <c r="N108" s="485" t="s">
        <v>0</v>
      </c>
      <c r="O108" s="486">
        <v>0.8</v>
      </c>
      <c r="P108" s="481" t="s">
        <v>58</v>
      </c>
      <c r="Q108" s="482" t="s">
        <v>33</v>
      </c>
      <c r="R108" s="478">
        <v>1</v>
      </c>
      <c r="S108" s="479">
        <v>14</v>
      </c>
      <c r="T108" s="1">
        <v>47920</v>
      </c>
      <c r="U108" s="656">
        <v>17727.997319887167</v>
      </c>
      <c r="V108" s="479">
        <v>500</v>
      </c>
      <c r="W108" s="483">
        <v>1</v>
      </c>
      <c r="X108" s="476">
        <v>0</v>
      </c>
      <c r="Y108" s="476">
        <v>0</v>
      </c>
      <c r="Z108" s="476">
        <v>1</v>
      </c>
      <c r="AA108" s="646" t="s">
        <v>997</v>
      </c>
      <c r="AB108" s="647">
        <f t="shared" si="6"/>
        <v>38</v>
      </c>
      <c r="AC108" s="647">
        <f t="shared" si="7"/>
        <v>17</v>
      </c>
      <c r="AD108" s="648" t="str">
        <f>IF(AB108="","",VLOOKUP(AB108,trancheage[],2,TRUE))</f>
        <v>30 à 39 ans</v>
      </c>
      <c r="AE108" s="648" t="str">
        <f>IFERROR(VLOOKUP(AC108,trancheanciennete[],2,TRUE),"")</f>
        <v>4 : 15-19</v>
      </c>
      <c r="AF108" s="649" t="str">
        <f>IF(T108&gt;0,VLOOKUP(T108,Trancheremuneration[],2,TRUE),"")</f>
        <v>5 : + de 23 000</v>
      </c>
      <c r="AG108" s="650">
        <f t="shared" si="8"/>
        <v>21773.596783864599</v>
      </c>
      <c r="AH108" s="631" t="str">
        <f t="shared" si="9"/>
        <v>catégorie 2</v>
      </c>
      <c r="AI108" s="631"/>
    </row>
    <row r="109" spans="1:35" ht="14">
      <c r="A109" t="s">
        <v>705</v>
      </c>
      <c r="B109" s="645" t="s">
        <v>47</v>
      </c>
      <c r="C109" s="651">
        <v>28067</v>
      </c>
      <c r="D109" s="652">
        <v>37839</v>
      </c>
      <c r="E109" s="473" t="s">
        <v>501</v>
      </c>
      <c r="F109" s="1029" t="s">
        <v>3</v>
      </c>
      <c r="G109" s="472" t="s">
        <v>399</v>
      </c>
      <c r="H109" s="472" t="s">
        <v>392</v>
      </c>
      <c r="I109" s="474" t="s">
        <v>23</v>
      </c>
      <c r="J109" s="474" t="s">
        <v>18</v>
      </c>
      <c r="K109" s="475" t="s">
        <v>36</v>
      </c>
      <c r="L109" s="861" t="str">
        <f t="shared" si="5"/>
        <v>salarié</v>
      </c>
      <c r="M109" s="485" t="s">
        <v>48</v>
      </c>
      <c r="N109" s="485" t="s">
        <v>1</v>
      </c>
      <c r="O109" s="486">
        <v>0.8</v>
      </c>
      <c r="P109" s="481" t="s">
        <v>59</v>
      </c>
      <c r="Q109" s="482" t="s">
        <v>31</v>
      </c>
      <c r="R109" s="478">
        <v>0</v>
      </c>
      <c r="S109" s="479">
        <v>7</v>
      </c>
      <c r="T109" s="1">
        <v>17200</v>
      </c>
      <c r="U109" s="656">
        <v>41924.283295994217</v>
      </c>
      <c r="V109" s="479">
        <v>250</v>
      </c>
      <c r="W109" s="483">
        <v>0</v>
      </c>
      <c r="X109" s="476">
        <v>1</v>
      </c>
      <c r="Y109" s="476">
        <v>1</v>
      </c>
      <c r="Z109" s="476">
        <v>1</v>
      </c>
      <c r="AA109" s="646" t="s">
        <v>997</v>
      </c>
      <c r="AB109" s="647">
        <f t="shared" si="6"/>
        <v>43</v>
      </c>
      <c r="AC109" s="647">
        <f t="shared" si="7"/>
        <v>17</v>
      </c>
      <c r="AD109" s="648" t="str">
        <f>IF(AB109="","",VLOOKUP(AB109,trancheage[],2,TRUE))</f>
        <v>40 à 49 ans</v>
      </c>
      <c r="AE109" s="648" t="str">
        <f>IFERROR(VLOOKUP(AC109,trancheanciennete[],2,TRUE),"")</f>
        <v>4 : 15-19</v>
      </c>
      <c r="AF109" s="649" t="str">
        <f>IF(T109&gt;0,VLOOKUP(T109,Trancheremuneration[],2,TRUE),"")</f>
        <v>3:17 000-20 000</v>
      </c>
      <c r="AG109" s="650">
        <f t="shared" si="8"/>
        <v>50559.139955193059</v>
      </c>
      <c r="AH109" s="631" t="str">
        <f t="shared" si="9"/>
        <v>catégorie 1</v>
      </c>
      <c r="AI109" s="631"/>
    </row>
    <row r="110" spans="1:35" ht="14">
      <c r="A110" t="s">
        <v>706</v>
      </c>
      <c r="B110" s="645" t="s">
        <v>27</v>
      </c>
      <c r="C110" s="651">
        <v>22686</v>
      </c>
      <c r="D110" s="652">
        <v>37889</v>
      </c>
      <c r="E110" s="473" t="s">
        <v>505</v>
      </c>
      <c r="F110" s="1029" t="s">
        <v>3</v>
      </c>
      <c r="G110" s="472" t="s">
        <v>397</v>
      </c>
      <c r="H110" s="472" t="s">
        <v>392</v>
      </c>
      <c r="I110" s="474" t="s">
        <v>22</v>
      </c>
      <c r="J110" s="474" t="s">
        <v>29</v>
      </c>
      <c r="K110" s="475" t="s">
        <v>35</v>
      </c>
      <c r="L110" s="861" t="str">
        <f t="shared" si="5"/>
        <v>salarié</v>
      </c>
      <c r="M110" s="485" t="s">
        <v>48</v>
      </c>
      <c r="N110" s="485" t="s">
        <v>1</v>
      </c>
      <c r="O110" s="486">
        <v>1</v>
      </c>
      <c r="P110" s="481" t="s">
        <v>59</v>
      </c>
      <c r="Q110" s="482" t="s">
        <v>30</v>
      </c>
      <c r="R110" s="478">
        <v>0</v>
      </c>
      <c r="S110" s="479">
        <v>7</v>
      </c>
      <c r="T110" s="1">
        <v>37360</v>
      </c>
      <c r="U110" s="656">
        <v>26156.023906499271</v>
      </c>
      <c r="V110" s="479">
        <v>500</v>
      </c>
      <c r="W110" s="483">
        <v>0</v>
      </c>
      <c r="X110" s="476">
        <v>0</v>
      </c>
      <c r="Y110" s="476">
        <v>0</v>
      </c>
      <c r="Z110" s="476">
        <v>1</v>
      </c>
      <c r="AA110" s="646" t="s">
        <v>997</v>
      </c>
      <c r="AB110" s="647">
        <f t="shared" si="6"/>
        <v>58</v>
      </c>
      <c r="AC110" s="647">
        <f t="shared" si="7"/>
        <v>16</v>
      </c>
      <c r="AD110" s="648" t="str">
        <f>IF(AB110="","",VLOOKUP(AB110,trancheage[],2,TRUE))</f>
        <v>50 ans et plus</v>
      </c>
      <c r="AE110" s="648" t="str">
        <f>IFERROR(VLOOKUP(AC110,trancheanciennete[],2,TRUE),"")</f>
        <v>4 : 15-19</v>
      </c>
      <c r="AF110" s="649" t="str">
        <f>IF(T110&gt;0,VLOOKUP(T110,Trancheremuneration[],2,TRUE),"")</f>
        <v>5 : + de 23 000</v>
      </c>
      <c r="AG110" s="650">
        <f t="shared" si="8"/>
        <v>26656.023906499271</v>
      </c>
      <c r="AH110" s="631" t="str">
        <f t="shared" si="9"/>
        <v>catégorie 1</v>
      </c>
      <c r="AI110" s="631"/>
    </row>
    <row r="111" spans="1:35" ht="14">
      <c r="A111" t="s">
        <v>594</v>
      </c>
      <c r="B111" s="645" t="s">
        <v>27</v>
      </c>
      <c r="C111" s="651">
        <v>25466</v>
      </c>
      <c r="D111" s="652">
        <v>37931</v>
      </c>
      <c r="E111" s="473" t="s">
        <v>504</v>
      </c>
      <c r="F111" s="1029" t="s">
        <v>50</v>
      </c>
      <c r="G111" s="472" t="s">
        <v>398</v>
      </c>
      <c r="H111" s="472" t="s">
        <v>392</v>
      </c>
      <c r="I111" s="474" t="s">
        <v>22</v>
      </c>
      <c r="J111" s="474" t="s">
        <v>29</v>
      </c>
      <c r="K111" s="475" t="s">
        <v>43</v>
      </c>
      <c r="L111" s="861" t="str">
        <f t="shared" si="5"/>
        <v>salarié</v>
      </c>
      <c r="M111" s="485" t="s">
        <v>48</v>
      </c>
      <c r="N111" s="485" t="s">
        <v>0</v>
      </c>
      <c r="O111" s="486">
        <v>1</v>
      </c>
      <c r="P111" s="481" t="s">
        <v>58</v>
      </c>
      <c r="Q111" s="482" t="s">
        <v>34</v>
      </c>
      <c r="R111" s="478">
        <v>1</v>
      </c>
      <c r="S111" s="479">
        <v>7</v>
      </c>
      <c r="T111" s="1">
        <v>25720</v>
      </c>
      <c r="U111" s="656">
        <v>9589.3240835680372</v>
      </c>
      <c r="V111" s="479">
        <v>250</v>
      </c>
      <c r="W111" s="483">
        <v>1</v>
      </c>
      <c r="X111" s="476">
        <v>0</v>
      </c>
      <c r="Y111" s="476">
        <v>1</v>
      </c>
      <c r="Z111" s="476">
        <v>0</v>
      </c>
      <c r="AA111" s="646" t="s">
        <v>997</v>
      </c>
      <c r="AB111" s="647">
        <f t="shared" si="6"/>
        <v>50</v>
      </c>
      <c r="AC111" s="647">
        <f t="shared" si="7"/>
        <v>16</v>
      </c>
      <c r="AD111" s="648" t="str">
        <f>IF(AB111="","",VLOOKUP(AB111,trancheage[],2,TRUE))</f>
        <v>50 ans et plus</v>
      </c>
      <c r="AE111" s="648" t="str">
        <f>IFERROR(VLOOKUP(AC111,trancheanciennete[],2,TRUE),"")</f>
        <v>4 : 15-19</v>
      </c>
      <c r="AF111" s="649" t="str">
        <f>IF(T111&gt;0,VLOOKUP(T111,Trancheremuneration[],2,TRUE),"")</f>
        <v>5 : + de 23 000</v>
      </c>
      <c r="AG111" s="650">
        <f t="shared" si="8"/>
        <v>9839.3240835680372</v>
      </c>
      <c r="AH111" s="631" t="str">
        <f t="shared" si="9"/>
        <v>catégorie 1</v>
      </c>
      <c r="AI111" s="631"/>
    </row>
    <row r="112" spans="1:35" ht="14">
      <c r="A112" t="s">
        <v>591</v>
      </c>
      <c r="B112" s="645" t="s">
        <v>47</v>
      </c>
      <c r="C112" s="651">
        <v>28626</v>
      </c>
      <c r="D112" s="652">
        <v>37964</v>
      </c>
      <c r="E112" s="473" t="s">
        <v>501</v>
      </c>
      <c r="F112" s="1029" t="s">
        <v>3</v>
      </c>
      <c r="G112" s="472" t="s">
        <v>395</v>
      </c>
      <c r="H112" s="472" t="s">
        <v>392</v>
      </c>
      <c r="I112" s="474" t="s">
        <v>22</v>
      </c>
      <c r="J112" s="474" t="s">
        <v>29</v>
      </c>
      <c r="K112" s="475" t="s">
        <v>43</v>
      </c>
      <c r="L112" s="861" t="str">
        <f t="shared" si="5"/>
        <v>salarié</v>
      </c>
      <c r="M112" s="485" t="s">
        <v>42</v>
      </c>
      <c r="N112" s="485" t="s">
        <v>1</v>
      </c>
      <c r="O112" s="486">
        <v>1</v>
      </c>
      <c r="P112" s="481" t="s">
        <v>59</v>
      </c>
      <c r="Q112" s="482" t="s">
        <v>33</v>
      </c>
      <c r="R112" s="478">
        <v>1</v>
      </c>
      <c r="S112" s="479">
        <v>7</v>
      </c>
      <c r="T112" s="1">
        <v>11200</v>
      </c>
      <c r="U112" s="656">
        <v>16901.70308779904</v>
      </c>
      <c r="V112" s="479">
        <v>250</v>
      </c>
      <c r="W112" s="483">
        <v>1</v>
      </c>
      <c r="X112" s="476">
        <v>0</v>
      </c>
      <c r="Y112" s="476">
        <v>1</v>
      </c>
      <c r="Z112" s="476">
        <v>0</v>
      </c>
      <c r="AA112" s="646" t="s">
        <v>997</v>
      </c>
      <c r="AB112" s="647">
        <f t="shared" si="6"/>
        <v>42</v>
      </c>
      <c r="AC112" s="647">
        <f t="shared" si="7"/>
        <v>16</v>
      </c>
      <c r="AD112" s="648" t="str">
        <f>IF(AB112="","",VLOOKUP(AB112,trancheage[],2,TRUE))</f>
        <v>40 à 49 ans</v>
      </c>
      <c r="AE112" s="648" t="str">
        <f>IFERROR(VLOOKUP(AC112,trancheanciennete[],2,TRUE),"")</f>
        <v>4 : 15-19</v>
      </c>
      <c r="AF112" s="649" t="str">
        <f>IF(T112&gt;0,VLOOKUP(T112,Trancheremuneration[],2,TRUE),"")</f>
        <v>1:7 000-14 000</v>
      </c>
      <c r="AG112" s="650">
        <f t="shared" si="8"/>
        <v>17151.70308779904</v>
      </c>
      <c r="AH112" s="631" t="str">
        <f t="shared" si="9"/>
        <v>catégorie 1</v>
      </c>
      <c r="AI112" s="631"/>
    </row>
    <row r="113" spans="1:35" ht="14">
      <c r="A113" t="s">
        <v>707</v>
      </c>
      <c r="B113" s="645" t="s">
        <v>47</v>
      </c>
      <c r="C113" s="651">
        <v>25839</v>
      </c>
      <c r="D113" s="652">
        <v>38001</v>
      </c>
      <c r="E113" s="473" t="s">
        <v>501</v>
      </c>
      <c r="F113" s="1029" t="s">
        <v>3</v>
      </c>
      <c r="G113" s="472" t="s">
        <v>395</v>
      </c>
      <c r="H113" s="472" t="s">
        <v>392</v>
      </c>
      <c r="I113" s="474" t="s">
        <v>23</v>
      </c>
      <c r="J113" s="474" t="s">
        <v>18</v>
      </c>
      <c r="K113" s="475" t="s">
        <v>36</v>
      </c>
      <c r="L113" s="861" t="str">
        <f t="shared" si="5"/>
        <v>salarié</v>
      </c>
      <c r="M113" s="485" t="s">
        <v>48</v>
      </c>
      <c r="N113" s="485" t="s">
        <v>0</v>
      </c>
      <c r="O113" s="486">
        <v>1</v>
      </c>
      <c r="P113" s="481" t="s">
        <v>58</v>
      </c>
      <c r="Q113" s="482" t="s">
        <v>34</v>
      </c>
      <c r="R113" s="478">
        <v>1</v>
      </c>
      <c r="S113" s="479">
        <v>28</v>
      </c>
      <c r="T113" s="1">
        <v>16720</v>
      </c>
      <c r="U113" s="656">
        <v>39335.705749000866</v>
      </c>
      <c r="V113" s="479">
        <v>250</v>
      </c>
      <c r="W113" s="483">
        <v>1</v>
      </c>
      <c r="X113" s="476">
        <v>0</v>
      </c>
      <c r="Y113" s="476">
        <v>1</v>
      </c>
      <c r="Z113" s="476">
        <v>0</v>
      </c>
      <c r="AA113" s="646" t="s">
        <v>997</v>
      </c>
      <c r="AB113" s="647">
        <f t="shared" si="6"/>
        <v>49</v>
      </c>
      <c r="AC113" s="647">
        <f t="shared" si="7"/>
        <v>16</v>
      </c>
      <c r="AD113" s="648" t="str">
        <f>IF(AB113="","",VLOOKUP(AB113,trancheage[],2,TRUE))</f>
        <v>50 ans et plus</v>
      </c>
      <c r="AE113" s="648" t="str">
        <f>IFERROR(VLOOKUP(AC113,trancheanciennete[],2,TRUE),"")</f>
        <v>4 : 15-19</v>
      </c>
      <c r="AF113" s="649" t="str">
        <f>IF(T113&gt;0,VLOOKUP(T113,Trancheremuneration[],2,TRUE),"")</f>
        <v>2:14 000-17 000</v>
      </c>
      <c r="AG113" s="650">
        <f t="shared" si="8"/>
        <v>39585.705749000866</v>
      </c>
      <c r="AH113" s="631" t="str">
        <f t="shared" si="9"/>
        <v>catégorie 1</v>
      </c>
      <c r="AI113" s="631"/>
    </row>
    <row r="114" spans="1:35" ht="14">
      <c r="A114" t="s">
        <v>708</v>
      </c>
      <c r="B114" s="645" t="s">
        <v>27</v>
      </c>
      <c r="C114" s="651">
        <v>26633</v>
      </c>
      <c r="D114" s="652">
        <v>38037</v>
      </c>
      <c r="E114" s="473" t="s">
        <v>501</v>
      </c>
      <c r="F114" s="1029" t="s">
        <v>3</v>
      </c>
      <c r="G114" s="472" t="s">
        <v>395</v>
      </c>
      <c r="H114" s="472" t="s">
        <v>392</v>
      </c>
      <c r="I114" s="474" t="s">
        <v>22</v>
      </c>
      <c r="J114" s="474" t="s">
        <v>29</v>
      </c>
      <c r="K114" s="475" t="s">
        <v>43</v>
      </c>
      <c r="L114" s="861" t="str">
        <f t="shared" si="5"/>
        <v>salarié</v>
      </c>
      <c r="M114" s="485" t="s">
        <v>40</v>
      </c>
      <c r="N114" s="485" t="s">
        <v>0</v>
      </c>
      <c r="O114" s="486">
        <v>1</v>
      </c>
      <c r="P114" s="481" t="s">
        <v>58</v>
      </c>
      <c r="Q114" s="482" t="s">
        <v>33</v>
      </c>
      <c r="R114" s="478">
        <v>1</v>
      </c>
      <c r="S114" s="479">
        <v>14</v>
      </c>
      <c r="T114" s="1">
        <v>35440</v>
      </c>
      <c r="U114" s="656">
        <v>17663.602358845863</v>
      </c>
      <c r="V114" s="479">
        <v>250</v>
      </c>
      <c r="W114" s="483">
        <v>1</v>
      </c>
      <c r="X114" s="476">
        <v>0</v>
      </c>
      <c r="Y114" s="476">
        <v>0</v>
      </c>
      <c r="Z114" s="476">
        <v>0</v>
      </c>
      <c r="AA114" s="646" t="s">
        <v>997</v>
      </c>
      <c r="AB114" s="647">
        <f t="shared" si="6"/>
        <v>47</v>
      </c>
      <c r="AC114" s="647">
        <f t="shared" si="7"/>
        <v>16</v>
      </c>
      <c r="AD114" s="648" t="str">
        <f>IF(AB114="","",VLOOKUP(AB114,trancheage[],2,TRUE))</f>
        <v>40 à 49 ans</v>
      </c>
      <c r="AE114" s="648" t="str">
        <f>IFERROR(VLOOKUP(AC114,trancheanciennete[],2,TRUE),"")</f>
        <v>4 : 15-19</v>
      </c>
      <c r="AF114" s="649" t="str">
        <f>IF(T114&gt;0,VLOOKUP(T114,Trancheremuneration[],2,TRUE),"")</f>
        <v>5 : + de 23 000</v>
      </c>
      <c r="AG114" s="650">
        <f t="shared" si="8"/>
        <v>17913.602358845863</v>
      </c>
      <c r="AH114" s="631" t="str">
        <f t="shared" si="9"/>
        <v>catégorie 1</v>
      </c>
      <c r="AI114" s="631"/>
    </row>
    <row r="115" spans="1:35" ht="14">
      <c r="A115" t="s">
        <v>709</v>
      </c>
      <c r="B115" s="645" t="s">
        <v>47</v>
      </c>
      <c r="C115" s="651">
        <v>27858</v>
      </c>
      <c r="D115" s="652">
        <v>38059</v>
      </c>
      <c r="E115" s="473" t="s">
        <v>502</v>
      </c>
      <c r="F115" s="1029" t="s">
        <v>50</v>
      </c>
      <c r="G115" s="472" t="s">
        <v>399</v>
      </c>
      <c r="H115" s="472" t="s">
        <v>392</v>
      </c>
      <c r="I115" s="474" t="s">
        <v>22</v>
      </c>
      <c r="J115" s="474" t="s">
        <v>28</v>
      </c>
      <c r="K115" s="475" t="s">
        <v>43</v>
      </c>
      <c r="L115" s="861" t="str">
        <f t="shared" si="5"/>
        <v>salarié</v>
      </c>
      <c r="M115" s="483" t="s">
        <v>48</v>
      </c>
      <c r="N115" s="483" t="s">
        <v>0</v>
      </c>
      <c r="O115" s="486">
        <v>1</v>
      </c>
      <c r="P115" s="481" t="s">
        <v>58</v>
      </c>
      <c r="Q115" s="482" t="s">
        <v>31</v>
      </c>
      <c r="R115" s="478">
        <v>0</v>
      </c>
      <c r="S115" s="479">
        <v>7</v>
      </c>
      <c r="T115" s="1">
        <v>20080</v>
      </c>
      <c r="U115" s="656">
        <v>7870.7744944180031</v>
      </c>
      <c r="V115" s="479">
        <v>250</v>
      </c>
      <c r="W115" s="483">
        <v>0</v>
      </c>
      <c r="X115" s="476">
        <v>1</v>
      </c>
      <c r="Y115" s="476">
        <v>0</v>
      </c>
      <c r="Z115" s="476">
        <v>0</v>
      </c>
      <c r="AA115" s="646" t="s">
        <v>997</v>
      </c>
      <c r="AB115" s="647">
        <f t="shared" si="6"/>
        <v>44</v>
      </c>
      <c r="AC115" s="647">
        <f t="shared" si="7"/>
        <v>16</v>
      </c>
      <c r="AD115" s="648" t="str">
        <f>IF(AB115="","",VLOOKUP(AB115,trancheage[],2,TRUE))</f>
        <v>40 à 49 ans</v>
      </c>
      <c r="AE115" s="648" t="str">
        <f>IFERROR(VLOOKUP(AC115,trancheanciennete[],2,TRUE),"")</f>
        <v>4 : 15-19</v>
      </c>
      <c r="AF115" s="649" t="str">
        <f>IF(T115&gt;0,VLOOKUP(T115,Trancheremuneration[],2,TRUE),"")</f>
        <v>4: 20 000-23 000</v>
      </c>
      <c r="AG115" s="650">
        <f t="shared" si="8"/>
        <v>8120.7744944180031</v>
      </c>
      <c r="AH115" s="631" t="str">
        <f t="shared" si="9"/>
        <v>catégorie 1</v>
      </c>
      <c r="AI115" s="631"/>
    </row>
    <row r="116" spans="1:35" ht="14">
      <c r="A116" t="s">
        <v>710</v>
      </c>
      <c r="B116" s="645" t="s">
        <v>27</v>
      </c>
      <c r="C116" s="651">
        <v>30798</v>
      </c>
      <c r="D116" s="652">
        <v>38144</v>
      </c>
      <c r="E116" s="473" t="s">
        <v>505</v>
      </c>
      <c r="F116" s="1029" t="s">
        <v>3</v>
      </c>
      <c r="G116" s="472" t="s">
        <v>396</v>
      </c>
      <c r="H116" s="472" t="s">
        <v>392</v>
      </c>
      <c r="I116" s="474" t="s">
        <v>22</v>
      </c>
      <c r="J116" s="474" t="s">
        <v>28</v>
      </c>
      <c r="K116" s="475" t="s">
        <v>43</v>
      </c>
      <c r="L116" s="861" t="str">
        <f t="shared" si="5"/>
        <v>salarié</v>
      </c>
      <c r="M116" s="483" t="s">
        <v>48</v>
      </c>
      <c r="N116" s="483" t="s">
        <v>0</v>
      </c>
      <c r="O116" s="486">
        <v>1</v>
      </c>
      <c r="P116" s="481" t="s">
        <v>58</v>
      </c>
      <c r="Q116" s="482" t="s">
        <v>31</v>
      </c>
      <c r="R116" s="478">
        <v>0</v>
      </c>
      <c r="S116" s="479">
        <v>0</v>
      </c>
      <c r="T116" s="1">
        <v>10960</v>
      </c>
      <c r="U116" s="656">
        <v>15337.539787358197</v>
      </c>
      <c r="V116" s="479">
        <v>100</v>
      </c>
      <c r="W116" s="483">
        <v>0</v>
      </c>
      <c r="X116" s="476">
        <v>1</v>
      </c>
      <c r="Y116" s="476">
        <v>0</v>
      </c>
      <c r="Z116" s="476">
        <v>0</v>
      </c>
      <c r="AA116" s="646" t="s">
        <v>997</v>
      </c>
      <c r="AB116" s="647">
        <f t="shared" si="6"/>
        <v>36</v>
      </c>
      <c r="AC116" s="647">
        <f t="shared" si="7"/>
        <v>16</v>
      </c>
      <c r="AD116" s="648" t="str">
        <f>IF(AB116="","",VLOOKUP(AB116,trancheage[],2,TRUE))</f>
        <v>30 à 39 ans</v>
      </c>
      <c r="AE116" s="648" t="str">
        <f>IFERROR(VLOOKUP(AC116,trancheanciennete[],2,TRUE),"")</f>
        <v>4 : 15-19</v>
      </c>
      <c r="AF116" s="649" t="str">
        <f>IF(T116&gt;0,VLOOKUP(T116,Trancheremuneration[],2,TRUE),"")</f>
        <v>1:7 000-14 000</v>
      </c>
      <c r="AG116" s="650">
        <f t="shared" si="8"/>
        <v>15437.539787358197</v>
      </c>
      <c r="AH116" s="631" t="str">
        <f t="shared" si="9"/>
        <v>catégorie 1</v>
      </c>
      <c r="AI116" s="631"/>
    </row>
    <row r="117" spans="1:35" ht="14">
      <c r="A117" t="s">
        <v>711</v>
      </c>
      <c r="B117" s="645" t="s">
        <v>27</v>
      </c>
      <c r="C117" s="651">
        <v>30947</v>
      </c>
      <c r="D117" s="652">
        <v>38171</v>
      </c>
      <c r="E117" s="473" t="s">
        <v>501</v>
      </c>
      <c r="F117" s="1029" t="s">
        <v>50</v>
      </c>
      <c r="G117" s="472" t="s">
        <v>397</v>
      </c>
      <c r="H117" s="472" t="s">
        <v>392</v>
      </c>
      <c r="I117" s="474" t="s">
        <v>23</v>
      </c>
      <c r="J117" s="474" t="s">
        <v>18</v>
      </c>
      <c r="K117" s="475" t="s">
        <v>36</v>
      </c>
      <c r="L117" s="861" t="str">
        <f t="shared" si="5"/>
        <v>salarié</v>
      </c>
      <c r="M117" s="485" t="s">
        <v>48</v>
      </c>
      <c r="N117" s="485" t="s">
        <v>1</v>
      </c>
      <c r="O117" s="486">
        <v>1</v>
      </c>
      <c r="P117" s="481" t="s">
        <v>58</v>
      </c>
      <c r="Q117" s="482" t="s">
        <v>39</v>
      </c>
      <c r="R117" s="478">
        <v>1</v>
      </c>
      <c r="S117" s="479">
        <v>0</v>
      </c>
      <c r="T117" s="1">
        <v>14800</v>
      </c>
      <c r="U117" s="656">
        <v>25043.769958438315</v>
      </c>
      <c r="V117" s="479">
        <v>100</v>
      </c>
      <c r="W117" s="483">
        <v>1</v>
      </c>
      <c r="X117" s="476">
        <v>0</v>
      </c>
      <c r="Y117" s="476">
        <v>0</v>
      </c>
      <c r="Z117" s="476">
        <v>0</v>
      </c>
      <c r="AA117" s="646" t="s">
        <v>997</v>
      </c>
      <c r="AB117" s="647">
        <f t="shared" si="6"/>
        <v>35</v>
      </c>
      <c r="AC117" s="647">
        <f t="shared" si="7"/>
        <v>16</v>
      </c>
      <c r="AD117" s="648" t="str">
        <f>IF(AB117="","",VLOOKUP(AB117,trancheage[],2,TRUE))</f>
        <v>30 à 39 ans</v>
      </c>
      <c r="AE117" s="648" t="str">
        <f>IFERROR(VLOOKUP(AC117,trancheanciennete[],2,TRUE),"")</f>
        <v>4 : 15-19</v>
      </c>
      <c r="AF117" s="649" t="str">
        <f>IF(T117&gt;0,VLOOKUP(T117,Trancheremuneration[],2,TRUE),"")</f>
        <v>2:14 000-17 000</v>
      </c>
      <c r="AG117" s="650">
        <f t="shared" si="8"/>
        <v>25143.769958438315</v>
      </c>
      <c r="AH117" s="631" t="str">
        <f t="shared" si="9"/>
        <v>catégorie 1</v>
      </c>
      <c r="AI117" s="631"/>
    </row>
    <row r="118" spans="1:35" ht="14">
      <c r="A118" t="s">
        <v>712</v>
      </c>
      <c r="B118" s="645" t="s">
        <v>27</v>
      </c>
      <c r="C118" s="651">
        <v>22329</v>
      </c>
      <c r="D118" s="652">
        <v>38172</v>
      </c>
      <c r="E118" s="473" t="s">
        <v>501</v>
      </c>
      <c r="F118" s="1029" t="s">
        <v>50</v>
      </c>
      <c r="G118" s="472" t="s">
        <v>398</v>
      </c>
      <c r="H118" s="472" t="s">
        <v>392</v>
      </c>
      <c r="I118" s="474" t="s">
        <v>23</v>
      </c>
      <c r="J118" s="474" t="s">
        <v>18</v>
      </c>
      <c r="K118" s="475" t="s">
        <v>302</v>
      </c>
      <c r="L118" s="861" t="str">
        <f t="shared" si="5"/>
        <v>salarié</v>
      </c>
      <c r="M118" s="485" t="s">
        <v>42</v>
      </c>
      <c r="N118" s="485" t="s">
        <v>0</v>
      </c>
      <c r="O118" s="486">
        <v>0.8</v>
      </c>
      <c r="P118" s="481" t="s">
        <v>59</v>
      </c>
      <c r="Q118" s="482" t="s">
        <v>32</v>
      </c>
      <c r="R118" s="478">
        <v>0</v>
      </c>
      <c r="S118" s="479">
        <v>0</v>
      </c>
      <c r="T118" s="1">
        <v>30760</v>
      </c>
      <c r="U118" s="656">
        <v>22400.245119768166</v>
      </c>
      <c r="V118" s="479">
        <v>250</v>
      </c>
      <c r="W118" s="483">
        <v>0</v>
      </c>
      <c r="X118" s="476">
        <v>0</v>
      </c>
      <c r="Y118" s="476">
        <v>0</v>
      </c>
      <c r="Z118" s="476">
        <v>0</v>
      </c>
      <c r="AA118" s="646" t="s">
        <v>997</v>
      </c>
      <c r="AB118" s="647">
        <f t="shared" si="6"/>
        <v>59</v>
      </c>
      <c r="AC118" s="647">
        <f t="shared" si="7"/>
        <v>16</v>
      </c>
      <c r="AD118" s="648" t="str">
        <f>IF(AB118="","",VLOOKUP(AB118,trancheage[],2,TRUE))</f>
        <v>50 ans et plus</v>
      </c>
      <c r="AE118" s="648" t="str">
        <f>IFERROR(VLOOKUP(AC118,trancheanciennete[],2,TRUE),"")</f>
        <v>4 : 15-19</v>
      </c>
      <c r="AF118" s="649" t="str">
        <f>IF(T118&gt;0,VLOOKUP(T118,Trancheremuneration[],2,TRUE),"")</f>
        <v>5 : + de 23 000</v>
      </c>
      <c r="AG118" s="650">
        <f t="shared" si="8"/>
        <v>27130.2941437218</v>
      </c>
      <c r="AH118" s="631" t="str">
        <f t="shared" si="9"/>
        <v>catégorie 1</v>
      </c>
      <c r="AI118" s="631"/>
    </row>
    <row r="119" spans="1:35" ht="14">
      <c r="A119" t="s">
        <v>713</v>
      </c>
      <c r="B119" s="645" t="s">
        <v>47</v>
      </c>
      <c r="C119" s="651">
        <v>29957</v>
      </c>
      <c r="D119" s="652">
        <v>38180</v>
      </c>
      <c r="E119" s="473" t="s">
        <v>505</v>
      </c>
      <c r="F119" s="1029" t="s">
        <v>3</v>
      </c>
      <c r="G119" s="472" t="s">
        <v>399</v>
      </c>
      <c r="H119" s="472" t="s">
        <v>392</v>
      </c>
      <c r="I119" s="474" t="s">
        <v>22</v>
      </c>
      <c r="J119" s="474" t="s">
        <v>28</v>
      </c>
      <c r="K119" s="475" t="s">
        <v>43</v>
      </c>
      <c r="L119" s="861" t="str">
        <f t="shared" si="5"/>
        <v>salarié</v>
      </c>
      <c r="M119" s="485" t="s">
        <v>48</v>
      </c>
      <c r="N119" s="485" t="s">
        <v>1</v>
      </c>
      <c r="O119" s="486">
        <v>0.8</v>
      </c>
      <c r="P119" s="481" t="s">
        <v>59</v>
      </c>
      <c r="Q119" s="482" t="s">
        <v>32</v>
      </c>
      <c r="R119" s="478">
        <v>0</v>
      </c>
      <c r="S119" s="479">
        <v>0</v>
      </c>
      <c r="T119" s="1">
        <v>20320</v>
      </c>
      <c r="U119" s="656">
        <v>33280.696126502342</v>
      </c>
      <c r="V119" s="479">
        <v>500</v>
      </c>
      <c r="W119" s="483">
        <v>0</v>
      </c>
      <c r="X119" s="476">
        <v>1</v>
      </c>
      <c r="Y119" s="476">
        <v>0</v>
      </c>
      <c r="Z119" s="476">
        <v>0</v>
      </c>
      <c r="AA119" s="646" t="s">
        <v>997</v>
      </c>
      <c r="AB119" s="647">
        <f t="shared" si="6"/>
        <v>38</v>
      </c>
      <c r="AC119" s="647">
        <f t="shared" si="7"/>
        <v>16</v>
      </c>
      <c r="AD119" s="648" t="str">
        <f>IF(AB119="","",VLOOKUP(AB119,trancheage[],2,TRUE))</f>
        <v>30 à 39 ans</v>
      </c>
      <c r="AE119" s="648" t="str">
        <f>IFERROR(VLOOKUP(AC119,trancheanciennete[],2,TRUE),"")</f>
        <v>4 : 15-19</v>
      </c>
      <c r="AF119" s="649" t="str">
        <f>IF(T119&gt;0,VLOOKUP(T119,Trancheremuneration[],2,TRUE),"")</f>
        <v>4: 20 000-23 000</v>
      </c>
      <c r="AG119" s="650">
        <f t="shared" si="8"/>
        <v>40436.835351802809</v>
      </c>
      <c r="AH119" s="631" t="str">
        <f t="shared" si="9"/>
        <v>catégorie 1</v>
      </c>
      <c r="AI119" s="631"/>
    </row>
    <row r="120" spans="1:35" ht="14">
      <c r="A120" t="s">
        <v>714</v>
      </c>
      <c r="B120" s="645" t="s">
        <v>47</v>
      </c>
      <c r="C120" s="651">
        <v>30322</v>
      </c>
      <c r="D120" s="652">
        <v>38229</v>
      </c>
      <c r="E120" s="473" t="s">
        <v>501</v>
      </c>
      <c r="F120" s="1029" t="s">
        <v>3</v>
      </c>
      <c r="G120" s="472" t="s">
        <v>395</v>
      </c>
      <c r="H120" s="472" t="s">
        <v>393</v>
      </c>
      <c r="I120" s="474" t="s">
        <v>22</v>
      </c>
      <c r="J120" s="474" t="s">
        <v>28</v>
      </c>
      <c r="K120" s="475" t="s">
        <v>43</v>
      </c>
      <c r="L120" s="861" t="str">
        <f t="shared" si="5"/>
        <v>salarié</v>
      </c>
      <c r="M120" s="485" t="s">
        <v>42</v>
      </c>
      <c r="N120" s="485" t="s">
        <v>1</v>
      </c>
      <c r="O120" s="486">
        <v>1</v>
      </c>
      <c r="P120" s="481" t="s">
        <v>59</v>
      </c>
      <c r="Q120" s="482" t="s">
        <v>30</v>
      </c>
      <c r="R120" s="478">
        <v>0</v>
      </c>
      <c r="S120" s="479">
        <v>14</v>
      </c>
      <c r="T120" s="1">
        <v>30760</v>
      </c>
      <c r="U120" s="656">
        <v>24337.593439781922</v>
      </c>
      <c r="V120" s="479">
        <v>250</v>
      </c>
      <c r="W120" s="483">
        <v>0</v>
      </c>
      <c r="X120" s="476">
        <v>0</v>
      </c>
      <c r="Y120" s="476">
        <v>1</v>
      </c>
      <c r="Z120" s="476">
        <v>0</v>
      </c>
      <c r="AA120" s="646" t="s">
        <v>997</v>
      </c>
      <c r="AB120" s="647">
        <f t="shared" si="6"/>
        <v>37</v>
      </c>
      <c r="AC120" s="647">
        <f t="shared" si="7"/>
        <v>16</v>
      </c>
      <c r="AD120" s="648" t="str">
        <f>IF(AB120="","",VLOOKUP(AB120,trancheage[],2,TRUE))</f>
        <v>30 à 39 ans</v>
      </c>
      <c r="AE120" s="648" t="str">
        <f>IFERROR(VLOOKUP(AC120,trancheanciennete[],2,TRUE),"")</f>
        <v>4 : 15-19</v>
      </c>
      <c r="AF120" s="649" t="str">
        <f>IF(T120&gt;0,VLOOKUP(T120,Trancheremuneration[],2,TRUE),"")</f>
        <v>5 : + de 23 000</v>
      </c>
      <c r="AG120" s="650">
        <f t="shared" si="8"/>
        <v>24587.593439781922</v>
      </c>
      <c r="AH120" s="631" t="str">
        <f t="shared" si="9"/>
        <v>catégorie 2</v>
      </c>
      <c r="AI120" s="631"/>
    </row>
    <row r="121" spans="1:35" ht="14">
      <c r="A121" t="s">
        <v>603</v>
      </c>
      <c r="B121" s="645" t="s">
        <v>47</v>
      </c>
      <c r="C121" s="651">
        <v>27733</v>
      </c>
      <c r="D121" s="652">
        <v>38317</v>
      </c>
      <c r="E121" s="473" t="s">
        <v>501</v>
      </c>
      <c r="F121" s="1029" t="s">
        <v>3</v>
      </c>
      <c r="G121" s="472" t="s">
        <v>395</v>
      </c>
      <c r="H121" s="472" t="s">
        <v>392</v>
      </c>
      <c r="I121" s="474" t="s">
        <v>22</v>
      </c>
      <c r="J121" s="474" t="s">
        <v>28</v>
      </c>
      <c r="K121" s="475" t="s">
        <v>43</v>
      </c>
      <c r="L121" s="861" t="str">
        <f t="shared" si="5"/>
        <v>salarié</v>
      </c>
      <c r="M121" s="485" t="s">
        <v>48</v>
      </c>
      <c r="N121" s="485" t="s">
        <v>1</v>
      </c>
      <c r="O121" s="486">
        <v>1</v>
      </c>
      <c r="P121" s="481" t="s">
        <v>59</v>
      </c>
      <c r="Q121" s="482" t="s">
        <v>33</v>
      </c>
      <c r="R121" s="478">
        <v>1</v>
      </c>
      <c r="S121" s="479">
        <v>14</v>
      </c>
      <c r="T121" s="1">
        <v>22000</v>
      </c>
      <c r="U121" s="656">
        <v>19430.668181131787</v>
      </c>
      <c r="V121" s="479">
        <v>250</v>
      </c>
      <c r="W121" s="483">
        <v>1</v>
      </c>
      <c r="X121" s="476">
        <v>0</v>
      </c>
      <c r="Y121" s="476">
        <v>0</v>
      </c>
      <c r="Z121" s="476">
        <v>0</v>
      </c>
      <c r="AA121" s="646" t="s">
        <v>997</v>
      </c>
      <c r="AB121" s="647">
        <f t="shared" si="6"/>
        <v>44</v>
      </c>
      <c r="AC121" s="647">
        <f t="shared" si="7"/>
        <v>15</v>
      </c>
      <c r="AD121" s="648" t="str">
        <f>IF(AB121="","",VLOOKUP(AB121,trancheage[],2,TRUE))</f>
        <v>40 à 49 ans</v>
      </c>
      <c r="AE121" s="648" t="str">
        <f>IFERROR(VLOOKUP(AC121,trancheanciennete[],2,TRUE),"")</f>
        <v>4 : 15-19</v>
      </c>
      <c r="AF121" s="649" t="str">
        <f>IF(T121&gt;0,VLOOKUP(T121,Trancheremuneration[],2,TRUE),"")</f>
        <v>4: 20 000-23 000</v>
      </c>
      <c r="AG121" s="650">
        <f t="shared" si="8"/>
        <v>19680.668181131787</v>
      </c>
      <c r="AH121" s="631" t="str">
        <f t="shared" si="9"/>
        <v>catégorie 1</v>
      </c>
      <c r="AI121" s="631"/>
    </row>
    <row r="122" spans="1:35" ht="14">
      <c r="A122" t="s">
        <v>715</v>
      </c>
      <c r="B122" s="645" t="s">
        <v>47</v>
      </c>
      <c r="C122" s="651">
        <v>28281</v>
      </c>
      <c r="D122" s="652">
        <v>38321</v>
      </c>
      <c r="E122" s="473" t="s">
        <v>505</v>
      </c>
      <c r="F122" s="1029" t="s">
        <v>50</v>
      </c>
      <c r="G122" s="472" t="s">
        <v>395</v>
      </c>
      <c r="H122" s="472" t="s">
        <v>392</v>
      </c>
      <c r="I122" s="474" t="s">
        <v>22</v>
      </c>
      <c r="J122" s="474" t="s">
        <v>28</v>
      </c>
      <c r="K122" s="475" t="s">
        <v>56</v>
      </c>
      <c r="L122" s="861" t="str">
        <f t="shared" si="5"/>
        <v>salarié</v>
      </c>
      <c r="M122" s="485" t="s">
        <v>48</v>
      </c>
      <c r="N122" s="485" t="s">
        <v>1</v>
      </c>
      <c r="O122" s="486">
        <v>0.5</v>
      </c>
      <c r="P122" s="481" t="s">
        <v>59</v>
      </c>
      <c r="Q122" s="482" t="s">
        <v>31</v>
      </c>
      <c r="R122" s="478">
        <v>0</v>
      </c>
      <c r="S122" s="479">
        <v>0</v>
      </c>
      <c r="T122" s="1">
        <v>17200</v>
      </c>
      <c r="U122" s="656">
        <v>65239.797824614652</v>
      </c>
      <c r="V122" s="479">
        <v>250</v>
      </c>
      <c r="W122" s="483">
        <v>0</v>
      </c>
      <c r="X122" s="476">
        <v>1</v>
      </c>
      <c r="Y122" s="476">
        <v>0</v>
      </c>
      <c r="Z122" s="476">
        <v>0</v>
      </c>
      <c r="AA122" s="646" t="s">
        <v>997</v>
      </c>
      <c r="AB122" s="647">
        <f t="shared" si="6"/>
        <v>43</v>
      </c>
      <c r="AC122" s="647">
        <f t="shared" si="7"/>
        <v>15</v>
      </c>
      <c r="AD122" s="648" t="str">
        <f>IF(AB122="","",VLOOKUP(AB122,trancheage[],2,TRUE))</f>
        <v>40 à 49 ans</v>
      </c>
      <c r="AE122" s="648" t="str">
        <f>IFERROR(VLOOKUP(AC122,trancheanciennete[],2,TRUE),"")</f>
        <v>4 : 15-19</v>
      </c>
      <c r="AF122" s="649" t="str">
        <f>IF(T122&gt;0,VLOOKUP(T122,Trancheremuneration[],2,TRUE),"")</f>
        <v>3:17 000-20 000</v>
      </c>
      <c r="AG122" s="650">
        <f t="shared" si="8"/>
        <v>98109.696736921978</v>
      </c>
      <c r="AH122" s="631" t="str">
        <f t="shared" si="9"/>
        <v>catégorie 1</v>
      </c>
      <c r="AI122" s="631"/>
    </row>
    <row r="123" spans="1:35" ht="14">
      <c r="A123" t="s">
        <v>716</v>
      </c>
      <c r="B123" s="645" t="s">
        <v>47</v>
      </c>
      <c r="C123" s="651">
        <v>25316</v>
      </c>
      <c r="D123" s="652">
        <v>38325</v>
      </c>
      <c r="E123" s="473" t="s">
        <v>505</v>
      </c>
      <c r="F123" s="1029" t="s">
        <v>3</v>
      </c>
      <c r="G123" s="472" t="s">
        <v>396</v>
      </c>
      <c r="H123" s="472" t="s">
        <v>392</v>
      </c>
      <c r="I123" s="474" t="s">
        <v>22</v>
      </c>
      <c r="J123" s="474" t="s">
        <v>28</v>
      </c>
      <c r="K123" s="475" t="s">
        <v>35</v>
      </c>
      <c r="L123" s="861" t="str">
        <f t="shared" si="5"/>
        <v>salarié</v>
      </c>
      <c r="M123" s="485" t="s">
        <v>48</v>
      </c>
      <c r="N123" s="485" t="s">
        <v>1</v>
      </c>
      <c r="O123" s="486">
        <v>1</v>
      </c>
      <c r="P123" s="481" t="s">
        <v>59</v>
      </c>
      <c r="Q123" s="482" t="s">
        <v>31</v>
      </c>
      <c r="R123" s="478">
        <v>0</v>
      </c>
      <c r="S123" s="479">
        <v>0</v>
      </c>
      <c r="T123" s="1">
        <v>61000</v>
      </c>
      <c r="U123" s="656">
        <v>16355.195562830715</v>
      </c>
      <c r="V123" s="479">
        <v>250</v>
      </c>
      <c r="W123" s="483">
        <v>0</v>
      </c>
      <c r="X123" s="476">
        <v>1</v>
      </c>
      <c r="Y123" s="476">
        <v>0</v>
      </c>
      <c r="Z123" s="476">
        <v>0</v>
      </c>
      <c r="AA123" s="646" t="s">
        <v>998</v>
      </c>
      <c r="AB123" s="647">
        <f t="shared" si="6"/>
        <v>51</v>
      </c>
      <c r="AC123" s="647">
        <f t="shared" si="7"/>
        <v>15</v>
      </c>
      <c r="AD123" s="648" t="str">
        <f>IF(AB123="","",VLOOKUP(AB123,trancheage[],2,TRUE))</f>
        <v>50 ans et plus</v>
      </c>
      <c r="AE123" s="648" t="str">
        <f>IFERROR(VLOOKUP(AC123,trancheanciennete[],2,TRUE),"")</f>
        <v>4 : 15-19</v>
      </c>
      <c r="AF123" s="649" t="str">
        <f>IF(T123&gt;0,VLOOKUP(T123,Trancheremuneration[],2,TRUE),"")</f>
        <v>5 : + de 23 000</v>
      </c>
      <c r="AG123" s="650">
        <f t="shared" si="8"/>
        <v>16605.195562830715</v>
      </c>
      <c r="AH123" s="631" t="str">
        <f t="shared" si="9"/>
        <v>catégorie 1</v>
      </c>
      <c r="AI123" s="631"/>
    </row>
    <row r="124" spans="1:35" ht="14">
      <c r="A124" t="s">
        <v>717</v>
      </c>
      <c r="B124" s="645" t="s">
        <v>27</v>
      </c>
      <c r="C124" s="651">
        <v>24160</v>
      </c>
      <c r="D124" s="652">
        <v>38358</v>
      </c>
      <c r="E124" s="473" t="s">
        <v>501</v>
      </c>
      <c r="F124" s="1029" t="s">
        <v>3</v>
      </c>
      <c r="G124" s="472" t="s">
        <v>397</v>
      </c>
      <c r="H124" s="472" t="s">
        <v>392</v>
      </c>
      <c r="I124" s="474" t="s">
        <v>22</v>
      </c>
      <c r="J124" s="474" t="s">
        <v>28</v>
      </c>
      <c r="K124" s="475" t="s">
        <v>43</v>
      </c>
      <c r="L124" s="861" t="str">
        <f t="shared" si="5"/>
        <v>salarié</v>
      </c>
      <c r="M124" s="485" t="s">
        <v>48</v>
      </c>
      <c r="N124" s="485" t="s">
        <v>1</v>
      </c>
      <c r="O124" s="486">
        <v>0.8</v>
      </c>
      <c r="P124" s="481" t="s">
        <v>59</v>
      </c>
      <c r="Q124" s="482" t="s">
        <v>30</v>
      </c>
      <c r="R124" s="478">
        <v>1</v>
      </c>
      <c r="S124" s="479">
        <v>21</v>
      </c>
      <c r="T124" s="1">
        <v>19120</v>
      </c>
      <c r="U124" s="656">
        <v>28553.368070922246</v>
      </c>
      <c r="V124" s="479">
        <v>250</v>
      </c>
      <c r="W124" s="483">
        <v>1</v>
      </c>
      <c r="X124" s="476">
        <v>0</v>
      </c>
      <c r="Y124" s="476">
        <v>0</v>
      </c>
      <c r="Z124" s="476">
        <v>0</v>
      </c>
      <c r="AA124" s="646" t="s">
        <v>998</v>
      </c>
      <c r="AB124" s="647">
        <f t="shared" si="6"/>
        <v>54</v>
      </c>
      <c r="AC124" s="647">
        <f t="shared" si="7"/>
        <v>15</v>
      </c>
      <c r="AD124" s="648" t="str">
        <f>IF(AB124="","",VLOOKUP(AB124,trancheage[],2,TRUE))</f>
        <v>50 ans et plus</v>
      </c>
      <c r="AE124" s="648" t="str">
        <f>IFERROR(VLOOKUP(AC124,trancheanciennete[],2,TRUE),"")</f>
        <v>4 : 15-19</v>
      </c>
      <c r="AF124" s="649" t="str">
        <f>IF(T124&gt;0,VLOOKUP(T124,Trancheremuneration[],2,TRUE),"")</f>
        <v>3:17 000-20 000</v>
      </c>
      <c r="AG124" s="650">
        <f t="shared" si="8"/>
        <v>34514.041685106691</v>
      </c>
      <c r="AH124" s="631" t="str">
        <f t="shared" si="9"/>
        <v>catégorie 1</v>
      </c>
      <c r="AI124" s="631"/>
    </row>
    <row r="125" spans="1:35" ht="14">
      <c r="A125" t="s">
        <v>598</v>
      </c>
      <c r="B125" s="645" t="s">
        <v>27</v>
      </c>
      <c r="C125" s="651">
        <v>21125</v>
      </c>
      <c r="D125" s="652">
        <v>38364</v>
      </c>
      <c r="E125" s="473" t="s">
        <v>501</v>
      </c>
      <c r="F125" s="1029" t="s">
        <v>3</v>
      </c>
      <c r="G125" s="472" t="s">
        <v>398</v>
      </c>
      <c r="H125" s="472" t="s">
        <v>394</v>
      </c>
      <c r="I125" s="474" t="s">
        <v>22</v>
      </c>
      <c r="J125" s="474" t="s">
        <v>29</v>
      </c>
      <c r="K125" s="475" t="s">
        <v>43</v>
      </c>
      <c r="L125" s="861" t="str">
        <f t="shared" si="5"/>
        <v>salarié</v>
      </c>
      <c r="M125" s="485" t="s">
        <v>48</v>
      </c>
      <c r="N125" s="485" t="s">
        <v>1</v>
      </c>
      <c r="O125" s="486">
        <v>0.8</v>
      </c>
      <c r="P125" s="481" t="s">
        <v>59</v>
      </c>
      <c r="Q125" s="482" t="s">
        <v>32</v>
      </c>
      <c r="R125" s="478">
        <v>0</v>
      </c>
      <c r="S125" s="479">
        <v>0</v>
      </c>
      <c r="T125" s="1">
        <v>34360</v>
      </c>
      <c r="U125" s="656">
        <v>44152.783778367717</v>
      </c>
      <c r="V125" s="479">
        <v>250</v>
      </c>
      <c r="W125" s="483">
        <v>0</v>
      </c>
      <c r="X125" s="476">
        <v>1</v>
      </c>
      <c r="Y125" s="476">
        <v>0</v>
      </c>
      <c r="Z125" s="476">
        <v>0</v>
      </c>
      <c r="AA125" s="646" t="s">
        <v>998</v>
      </c>
      <c r="AB125" s="647">
        <f t="shared" si="6"/>
        <v>62</v>
      </c>
      <c r="AC125" s="647">
        <f t="shared" si="7"/>
        <v>15</v>
      </c>
      <c r="AD125" s="648" t="str">
        <f>IF(AB125="","",VLOOKUP(AB125,trancheage[],2,TRUE))</f>
        <v>50 ans et plus</v>
      </c>
      <c r="AE125" s="648" t="str">
        <f>IFERROR(VLOOKUP(AC125,trancheanciennete[],2,TRUE),"")</f>
        <v>4 : 15-19</v>
      </c>
      <c r="AF125" s="649" t="str">
        <f>IF(T125&gt;0,VLOOKUP(T125,Trancheremuneration[],2,TRUE),"")</f>
        <v>5 : + de 23 000</v>
      </c>
      <c r="AG125" s="650">
        <f t="shared" si="8"/>
        <v>53233.340534041257</v>
      </c>
      <c r="AH125" s="631" t="str">
        <f t="shared" si="9"/>
        <v>catégorie 3</v>
      </c>
      <c r="AI125" s="631"/>
    </row>
    <row r="126" spans="1:35" ht="14">
      <c r="A126" t="s">
        <v>718</v>
      </c>
      <c r="B126" s="645" t="s">
        <v>27</v>
      </c>
      <c r="C126" s="651">
        <v>21280</v>
      </c>
      <c r="D126" s="652">
        <v>38381</v>
      </c>
      <c r="E126" s="473" t="s">
        <v>504</v>
      </c>
      <c r="F126" s="1029" t="s">
        <v>3</v>
      </c>
      <c r="G126" s="472" t="s">
        <v>399</v>
      </c>
      <c r="H126" s="472" t="s">
        <v>392</v>
      </c>
      <c r="I126" s="474" t="s">
        <v>22</v>
      </c>
      <c r="J126" s="474" t="s">
        <v>29</v>
      </c>
      <c r="K126" s="475" t="s">
        <v>43</v>
      </c>
      <c r="L126" s="861" t="str">
        <f t="shared" si="5"/>
        <v>salarié</v>
      </c>
      <c r="M126" s="485" t="s">
        <v>48</v>
      </c>
      <c r="N126" s="485" t="s">
        <v>0</v>
      </c>
      <c r="O126" s="484">
        <v>0.8</v>
      </c>
      <c r="P126" s="476" t="s">
        <v>58</v>
      </c>
      <c r="Q126" s="477" t="s">
        <v>30</v>
      </c>
      <c r="R126" s="478">
        <v>0</v>
      </c>
      <c r="S126" s="479">
        <v>7</v>
      </c>
      <c r="T126" s="1">
        <v>51280</v>
      </c>
      <c r="U126" s="656">
        <v>19841.042579528996</v>
      </c>
      <c r="V126" s="479">
        <v>100</v>
      </c>
      <c r="W126" s="483">
        <v>0</v>
      </c>
      <c r="X126" s="476">
        <v>0</v>
      </c>
      <c r="Y126" s="476">
        <v>1</v>
      </c>
      <c r="Z126" s="476">
        <v>0</v>
      </c>
      <c r="AA126" s="646" t="s">
        <v>998</v>
      </c>
      <c r="AB126" s="647">
        <f t="shared" si="6"/>
        <v>62</v>
      </c>
      <c r="AC126" s="647">
        <f t="shared" si="7"/>
        <v>15</v>
      </c>
      <c r="AD126" s="648" t="str">
        <f>IF(AB126="","",VLOOKUP(AB126,trancheage[],2,TRUE))</f>
        <v>50 ans et plus</v>
      </c>
      <c r="AE126" s="648" t="str">
        <f>IFERROR(VLOOKUP(AC126,trancheanciennete[],2,TRUE),"")</f>
        <v>4 : 15-19</v>
      </c>
      <c r="AF126" s="649" t="str">
        <f>IF(T126&gt;0,VLOOKUP(T126,Trancheremuneration[],2,TRUE),"")</f>
        <v>5 : + de 23 000</v>
      </c>
      <c r="AG126" s="650">
        <f t="shared" si="8"/>
        <v>23909.251095434793</v>
      </c>
      <c r="AH126" s="631" t="str">
        <f t="shared" si="9"/>
        <v>catégorie 1</v>
      </c>
      <c r="AI126" s="631"/>
    </row>
    <row r="127" spans="1:35" ht="14">
      <c r="A127" t="s">
        <v>650</v>
      </c>
      <c r="B127" s="645" t="s">
        <v>27</v>
      </c>
      <c r="C127" s="651">
        <v>25625</v>
      </c>
      <c r="D127" s="652">
        <v>38391</v>
      </c>
      <c r="E127" s="473" t="s">
        <v>501</v>
      </c>
      <c r="F127" s="1029" t="s">
        <v>50</v>
      </c>
      <c r="G127" s="472" t="s">
        <v>395</v>
      </c>
      <c r="H127" s="472" t="s">
        <v>392</v>
      </c>
      <c r="I127" s="474" t="s">
        <v>22</v>
      </c>
      <c r="J127" s="474" t="s">
        <v>29</v>
      </c>
      <c r="K127" s="475" t="s">
        <v>43</v>
      </c>
      <c r="L127" s="861" t="str">
        <f t="shared" si="5"/>
        <v>salarié</v>
      </c>
      <c r="M127" s="485" t="s">
        <v>48</v>
      </c>
      <c r="N127" s="485" t="s">
        <v>0</v>
      </c>
      <c r="O127" s="484">
        <v>0.5</v>
      </c>
      <c r="P127" s="476" t="s">
        <v>58</v>
      </c>
      <c r="Q127" s="477" t="s">
        <v>30</v>
      </c>
      <c r="R127" s="478">
        <v>0</v>
      </c>
      <c r="S127" s="479">
        <v>7</v>
      </c>
      <c r="T127" s="1">
        <v>24280</v>
      </c>
      <c r="U127" s="656">
        <v>8959.0759426308414</v>
      </c>
      <c r="V127" s="479">
        <v>250</v>
      </c>
      <c r="W127" s="483">
        <v>0</v>
      </c>
      <c r="X127" s="476">
        <v>0</v>
      </c>
      <c r="Y127" s="476">
        <v>1</v>
      </c>
      <c r="Z127" s="476">
        <v>0</v>
      </c>
      <c r="AA127" s="646" t="s">
        <v>998</v>
      </c>
      <c r="AB127" s="647">
        <f t="shared" si="6"/>
        <v>50</v>
      </c>
      <c r="AC127" s="647">
        <f t="shared" si="7"/>
        <v>15</v>
      </c>
      <c r="AD127" s="648" t="str">
        <f>IF(AB127="","",VLOOKUP(AB127,trancheage[],2,TRUE))</f>
        <v>50 ans et plus</v>
      </c>
      <c r="AE127" s="648" t="str">
        <f>IFERROR(VLOOKUP(AC127,trancheanciennete[],2,TRUE),"")</f>
        <v>4 : 15-19</v>
      </c>
      <c r="AF127" s="649" t="str">
        <f>IF(T127&gt;0,VLOOKUP(T127,Trancheremuneration[],2,TRUE),"")</f>
        <v>5 : + de 23 000</v>
      </c>
      <c r="AG127" s="650">
        <f t="shared" si="8"/>
        <v>13688.613913946261</v>
      </c>
      <c r="AH127" s="631" t="str">
        <f t="shared" si="9"/>
        <v>catégorie 1</v>
      </c>
      <c r="AI127" s="631"/>
    </row>
    <row r="128" spans="1:35" ht="14">
      <c r="A128" t="s">
        <v>719</v>
      </c>
      <c r="B128" s="645" t="s">
        <v>27</v>
      </c>
      <c r="C128" s="651">
        <v>31615</v>
      </c>
      <c r="D128" s="652">
        <v>38423</v>
      </c>
      <c r="E128" s="473" t="s">
        <v>501</v>
      </c>
      <c r="F128" s="1029" t="s">
        <v>50</v>
      </c>
      <c r="G128" s="472" t="s">
        <v>395</v>
      </c>
      <c r="H128" s="472" t="s">
        <v>392</v>
      </c>
      <c r="I128" s="474" t="s">
        <v>23</v>
      </c>
      <c r="J128" s="474" t="s">
        <v>18</v>
      </c>
      <c r="K128" s="475" t="s">
        <v>304</v>
      </c>
      <c r="L128" s="861" t="str">
        <f t="shared" si="5"/>
        <v>salarié</v>
      </c>
      <c r="M128" s="485" t="s">
        <v>48</v>
      </c>
      <c r="N128" s="485" t="s">
        <v>1</v>
      </c>
      <c r="O128" s="486">
        <v>1</v>
      </c>
      <c r="P128" s="481" t="s">
        <v>58</v>
      </c>
      <c r="Q128" s="482" t="s">
        <v>33</v>
      </c>
      <c r="R128" s="478">
        <v>1</v>
      </c>
      <c r="S128" s="479">
        <v>14</v>
      </c>
      <c r="T128" s="1">
        <v>10960</v>
      </c>
      <c r="U128" s="656">
        <v>37366.457711833384</v>
      </c>
      <c r="V128" s="479">
        <v>250</v>
      </c>
      <c r="W128" s="483">
        <v>1</v>
      </c>
      <c r="X128" s="476">
        <v>0</v>
      </c>
      <c r="Y128" s="476">
        <v>0</v>
      </c>
      <c r="Z128" s="476">
        <v>0</v>
      </c>
      <c r="AA128" s="646" t="s">
        <v>998</v>
      </c>
      <c r="AB128" s="647">
        <f t="shared" si="6"/>
        <v>34</v>
      </c>
      <c r="AC128" s="647">
        <f t="shared" si="7"/>
        <v>15</v>
      </c>
      <c r="AD128" s="648" t="str">
        <f>IF(AB128="","",VLOOKUP(AB128,trancheage[],2,TRUE))</f>
        <v>30 à 39 ans</v>
      </c>
      <c r="AE128" s="648" t="str">
        <f>IFERROR(VLOOKUP(AC128,trancheanciennete[],2,TRUE),"")</f>
        <v>4 : 15-19</v>
      </c>
      <c r="AF128" s="649" t="str">
        <f>IF(T128&gt;0,VLOOKUP(T128,Trancheremuneration[],2,TRUE),"")</f>
        <v>1:7 000-14 000</v>
      </c>
      <c r="AG128" s="650">
        <f t="shared" si="8"/>
        <v>37616.457711833384</v>
      </c>
      <c r="AH128" s="631" t="str">
        <f t="shared" si="9"/>
        <v>catégorie 1</v>
      </c>
      <c r="AI128" s="631"/>
    </row>
    <row r="129" spans="1:35" ht="14">
      <c r="A129" t="s">
        <v>720</v>
      </c>
      <c r="B129" s="645" t="s">
        <v>27</v>
      </c>
      <c r="C129" s="651">
        <v>32031</v>
      </c>
      <c r="D129" s="652">
        <v>38449</v>
      </c>
      <c r="E129" s="473" t="s">
        <v>501</v>
      </c>
      <c r="F129" s="1029" t="s">
        <v>3</v>
      </c>
      <c r="G129" s="472" t="s">
        <v>396</v>
      </c>
      <c r="H129" s="472" t="s">
        <v>392</v>
      </c>
      <c r="I129" s="474" t="s">
        <v>22</v>
      </c>
      <c r="J129" s="474" t="s">
        <v>29</v>
      </c>
      <c r="K129" s="475" t="s">
        <v>301</v>
      </c>
      <c r="L129" s="861" t="str">
        <f t="shared" si="5"/>
        <v>salarié</v>
      </c>
      <c r="M129" s="485" t="s">
        <v>48</v>
      </c>
      <c r="N129" s="485" t="s">
        <v>0</v>
      </c>
      <c r="O129" s="486">
        <v>0.8</v>
      </c>
      <c r="P129" s="481" t="s">
        <v>59</v>
      </c>
      <c r="Q129" s="482" t="s">
        <v>31</v>
      </c>
      <c r="R129" s="478">
        <v>1</v>
      </c>
      <c r="S129" s="479">
        <v>7</v>
      </c>
      <c r="T129" s="1">
        <v>41800</v>
      </c>
      <c r="U129" s="656">
        <v>18301.102004723507</v>
      </c>
      <c r="V129" s="479">
        <v>250</v>
      </c>
      <c r="W129" s="483">
        <v>1</v>
      </c>
      <c r="X129" s="476">
        <v>1</v>
      </c>
      <c r="Y129" s="476">
        <v>1</v>
      </c>
      <c r="Z129" s="476">
        <v>0</v>
      </c>
      <c r="AA129" s="646" t="s">
        <v>998</v>
      </c>
      <c r="AB129" s="647">
        <f t="shared" si="6"/>
        <v>32</v>
      </c>
      <c r="AC129" s="647">
        <f t="shared" si="7"/>
        <v>15</v>
      </c>
      <c r="AD129" s="648" t="str">
        <f>IF(AB129="","",VLOOKUP(AB129,trancheage[],2,TRUE))</f>
        <v>30 à 39 ans</v>
      </c>
      <c r="AE129" s="648" t="str">
        <f>IFERROR(VLOOKUP(AC129,trancheanciennete[],2,TRUE),"")</f>
        <v>4 : 15-19</v>
      </c>
      <c r="AF129" s="649" t="str">
        <f>IF(T129&gt;0,VLOOKUP(T129,Trancheremuneration[],2,TRUE),"")</f>
        <v>5 : + de 23 000</v>
      </c>
      <c r="AG129" s="650">
        <f t="shared" si="8"/>
        <v>22211.322405668208</v>
      </c>
      <c r="AH129" s="631" t="str">
        <f t="shared" si="9"/>
        <v>catégorie 1</v>
      </c>
      <c r="AI129" s="631"/>
    </row>
    <row r="130" spans="1:35" ht="14">
      <c r="A130" t="s">
        <v>609</v>
      </c>
      <c r="B130" s="645" t="s">
        <v>47</v>
      </c>
      <c r="C130" s="651">
        <v>24030</v>
      </c>
      <c r="D130" s="652">
        <v>38469</v>
      </c>
      <c r="E130" s="473" t="s">
        <v>504</v>
      </c>
      <c r="F130" s="1029" t="s">
        <v>3</v>
      </c>
      <c r="G130" s="472" t="s">
        <v>395</v>
      </c>
      <c r="H130" s="472" t="s">
        <v>393</v>
      </c>
      <c r="I130" s="474" t="s">
        <v>22</v>
      </c>
      <c r="J130" s="474" t="s">
        <v>29</v>
      </c>
      <c r="K130" s="475" t="s">
        <v>43</v>
      </c>
      <c r="L130" s="861" t="str">
        <f t="shared" si="5"/>
        <v>salarié</v>
      </c>
      <c r="M130" s="485" t="s">
        <v>48</v>
      </c>
      <c r="N130" s="485" t="s">
        <v>0</v>
      </c>
      <c r="O130" s="486">
        <v>1</v>
      </c>
      <c r="P130" s="481" t="s">
        <v>59</v>
      </c>
      <c r="Q130" s="482" t="s">
        <v>30</v>
      </c>
      <c r="R130" s="478">
        <v>0</v>
      </c>
      <c r="S130" s="479">
        <v>7</v>
      </c>
      <c r="T130" s="1">
        <v>18400</v>
      </c>
      <c r="U130" s="656">
        <v>16403.52478845045</v>
      </c>
      <c r="V130" s="479">
        <v>250</v>
      </c>
      <c r="W130" s="483">
        <v>0</v>
      </c>
      <c r="X130" s="476">
        <v>0</v>
      </c>
      <c r="Y130" s="476">
        <v>0</v>
      </c>
      <c r="Z130" s="476">
        <v>1</v>
      </c>
      <c r="AA130" s="646" t="s">
        <v>998</v>
      </c>
      <c r="AB130" s="647">
        <f t="shared" si="6"/>
        <v>54</v>
      </c>
      <c r="AC130" s="647">
        <f t="shared" si="7"/>
        <v>15</v>
      </c>
      <c r="AD130" s="648" t="str">
        <f>IF(AB130="","",VLOOKUP(AB130,trancheage[],2,TRUE))</f>
        <v>50 ans et plus</v>
      </c>
      <c r="AE130" s="648" t="str">
        <f>IFERROR(VLOOKUP(AC130,trancheanciennete[],2,TRUE),"")</f>
        <v>4 : 15-19</v>
      </c>
      <c r="AF130" s="649" t="str">
        <f>IF(T130&gt;0,VLOOKUP(T130,Trancheremuneration[],2,TRUE),"")</f>
        <v>3:17 000-20 000</v>
      </c>
      <c r="AG130" s="650">
        <f t="shared" si="8"/>
        <v>16653.52478845045</v>
      </c>
      <c r="AH130" s="631" t="str">
        <f t="shared" si="9"/>
        <v>catégorie 2</v>
      </c>
      <c r="AI130" s="631"/>
    </row>
    <row r="131" spans="1:35" ht="14">
      <c r="A131" t="s">
        <v>721</v>
      </c>
      <c r="B131" s="645" t="s">
        <v>27</v>
      </c>
      <c r="C131" s="651">
        <v>30550</v>
      </c>
      <c r="D131" s="652">
        <v>38542</v>
      </c>
      <c r="E131" s="473" t="s">
        <v>503</v>
      </c>
      <c r="F131" s="1029" t="s">
        <v>50</v>
      </c>
      <c r="G131" s="472" t="s">
        <v>397</v>
      </c>
      <c r="H131" s="472" t="s">
        <v>394</v>
      </c>
      <c r="I131" s="474" t="s">
        <v>22</v>
      </c>
      <c r="J131" s="474" t="s">
        <v>29</v>
      </c>
      <c r="K131" s="475" t="s">
        <v>43</v>
      </c>
      <c r="L131" s="861" t="str">
        <f t="shared" si="5"/>
        <v>salarié</v>
      </c>
      <c r="M131" s="485" t="s">
        <v>42</v>
      </c>
      <c r="N131" s="485" t="s">
        <v>1</v>
      </c>
      <c r="O131" s="486">
        <v>1</v>
      </c>
      <c r="P131" s="481" t="s">
        <v>58</v>
      </c>
      <c r="Q131" s="482" t="s">
        <v>30</v>
      </c>
      <c r="R131" s="478">
        <v>0</v>
      </c>
      <c r="S131" s="479">
        <v>7</v>
      </c>
      <c r="T131" s="1">
        <v>20320</v>
      </c>
      <c r="U131" s="656">
        <v>25490.715815212352</v>
      </c>
      <c r="V131" s="479">
        <v>500</v>
      </c>
      <c r="W131" s="483">
        <v>0</v>
      </c>
      <c r="X131" s="476">
        <v>0</v>
      </c>
      <c r="Y131" s="476">
        <v>1</v>
      </c>
      <c r="Z131" s="476">
        <v>1</v>
      </c>
      <c r="AA131" s="646" t="s">
        <v>998</v>
      </c>
      <c r="AB131" s="647">
        <f t="shared" si="6"/>
        <v>37</v>
      </c>
      <c r="AC131" s="647">
        <f t="shared" si="7"/>
        <v>15</v>
      </c>
      <c r="AD131" s="648" t="str">
        <f>IF(AB131="","",VLOOKUP(AB131,trancheage[],2,TRUE))</f>
        <v>30 à 39 ans</v>
      </c>
      <c r="AE131" s="648" t="str">
        <f>IFERROR(VLOOKUP(AC131,trancheanciennete[],2,TRUE),"")</f>
        <v>4 : 15-19</v>
      </c>
      <c r="AF131" s="649" t="str">
        <f>IF(T131&gt;0,VLOOKUP(T131,Trancheremuneration[],2,TRUE),"")</f>
        <v>4: 20 000-23 000</v>
      </c>
      <c r="AG131" s="650">
        <f t="shared" si="8"/>
        <v>25990.715815212352</v>
      </c>
      <c r="AH131" s="631" t="str">
        <f t="shared" si="9"/>
        <v>catégorie 3</v>
      </c>
      <c r="AI131" s="631"/>
    </row>
    <row r="132" spans="1:35" ht="14">
      <c r="A132" t="s">
        <v>722</v>
      </c>
      <c r="B132" s="645" t="s">
        <v>27</v>
      </c>
      <c r="C132" s="651">
        <v>30747</v>
      </c>
      <c r="D132" s="652">
        <v>38571</v>
      </c>
      <c r="E132" s="473" t="s">
        <v>501</v>
      </c>
      <c r="F132" s="1029" t="s">
        <v>3</v>
      </c>
      <c r="G132" s="472" t="s">
        <v>398</v>
      </c>
      <c r="H132" s="472" t="s">
        <v>393</v>
      </c>
      <c r="I132" s="474" t="s">
        <v>23</v>
      </c>
      <c r="J132" s="474" t="s">
        <v>18</v>
      </c>
      <c r="K132" s="475" t="s">
        <v>36</v>
      </c>
      <c r="L132" s="861" t="str">
        <f t="shared" si="5"/>
        <v>salarié</v>
      </c>
      <c r="M132" s="485" t="s">
        <v>48</v>
      </c>
      <c r="N132" s="485" t="s">
        <v>0</v>
      </c>
      <c r="O132" s="486">
        <v>1</v>
      </c>
      <c r="P132" s="481" t="s">
        <v>59</v>
      </c>
      <c r="Q132" s="482" t="s">
        <v>33</v>
      </c>
      <c r="R132" s="478">
        <v>1</v>
      </c>
      <c r="S132" s="479">
        <v>7</v>
      </c>
      <c r="T132" s="1">
        <v>21760</v>
      </c>
      <c r="U132" s="656">
        <v>19351.693647972817</v>
      </c>
      <c r="V132" s="479">
        <v>250</v>
      </c>
      <c r="W132" s="483">
        <v>1</v>
      </c>
      <c r="X132" s="476">
        <v>0</v>
      </c>
      <c r="Y132" s="476">
        <v>1</v>
      </c>
      <c r="Z132" s="476">
        <v>0</v>
      </c>
      <c r="AA132" s="646" t="s">
        <v>998</v>
      </c>
      <c r="AB132" s="647">
        <f t="shared" si="6"/>
        <v>36</v>
      </c>
      <c r="AC132" s="647">
        <f t="shared" si="7"/>
        <v>15</v>
      </c>
      <c r="AD132" s="648" t="str">
        <f>IF(AB132="","",VLOOKUP(AB132,trancheage[],2,TRUE))</f>
        <v>30 à 39 ans</v>
      </c>
      <c r="AE132" s="648" t="str">
        <f>IFERROR(VLOOKUP(AC132,trancheanciennete[],2,TRUE),"")</f>
        <v>4 : 15-19</v>
      </c>
      <c r="AF132" s="649" t="str">
        <f>IF(T132&gt;0,VLOOKUP(T132,Trancheremuneration[],2,TRUE),"")</f>
        <v>4: 20 000-23 000</v>
      </c>
      <c r="AG132" s="650">
        <f t="shared" si="8"/>
        <v>19601.693647972817</v>
      </c>
      <c r="AH132" s="631" t="str">
        <f t="shared" si="9"/>
        <v>catégorie 2</v>
      </c>
      <c r="AI132" s="631"/>
    </row>
    <row r="133" spans="1:35" ht="14">
      <c r="A133" t="s">
        <v>723</v>
      </c>
      <c r="B133" s="645" t="s">
        <v>47</v>
      </c>
      <c r="C133" s="651">
        <v>32136</v>
      </c>
      <c r="D133" s="652">
        <v>38616</v>
      </c>
      <c r="E133" s="473" t="s">
        <v>501</v>
      </c>
      <c r="F133" s="1029" t="s">
        <v>49</v>
      </c>
      <c r="G133" s="472" t="s">
        <v>399</v>
      </c>
      <c r="H133" s="472" t="s">
        <v>394</v>
      </c>
      <c r="I133" s="474" t="s">
        <v>22</v>
      </c>
      <c r="J133" s="474" t="s">
        <v>29</v>
      </c>
      <c r="K133" s="475" t="s">
        <v>43</v>
      </c>
      <c r="L133" s="861" t="str">
        <f t="shared" si="5"/>
        <v>salarié</v>
      </c>
      <c r="M133" s="485" t="s">
        <v>40</v>
      </c>
      <c r="N133" s="485" t="s">
        <v>0</v>
      </c>
      <c r="O133" s="486">
        <v>1</v>
      </c>
      <c r="P133" s="481" t="s">
        <v>58</v>
      </c>
      <c r="Q133" s="482" t="s">
        <v>33</v>
      </c>
      <c r="R133" s="478">
        <v>1</v>
      </c>
      <c r="S133" s="479">
        <v>28</v>
      </c>
      <c r="T133" s="1">
        <v>24280</v>
      </c>
      <c r="U133" s="656">
        <v>40705.97371992001</v>
      </c>
      <c r="V133" s="479">
        <v>250</v>
      </c>
      <c r="W133" s="483">
        <v>1</v>
      </c>
      <c r="X133" s="476">
        <v>0</v>
      </c>
      <c r="Y133" s="476">
        <v>1</v>
      </c>
      <c r="Z133" s="476">
        <v>0</v>
      </c>
      <c r="AA133" s="646" t="s">
        <v>998</v>
      </c>
      <c r="AB133" s="647">
        <f t="shared" si="6"/>
        <v>32</v>
      </c>
      <c r="AC133" s="647">
        <f t="shared" si="7"/>
        <v>14</v>
      </c>
      <c r="AD133" s="648" t="str">
        <f>IF(AB133="","",VLOOKUP(AB133,trancheage[],2,TRUE))</f>
        <v>30 à 39 ans</v>
      </c>
      <c r="AE133" s="648" t="str">
        <f>IFERROR(VLOOKUP(AC133,trancheanciennete[],2,TRUE),"")</f>
        <v>4 : 15-19</v>
      </c>
      <c r="AF133" s="649" t="str">
        <f>IF(T133&gt;0,VLOOKUP(T133,Trancheremuneration[],2,TRUE),"")</f>
        <v>5 : + de 23 000</v>
      </c>
      <c r="AG133" s="650">
        <f t="shared" si="8"/>
        <v>40955.97371992001</v>
      </c>
      <c r="AH133" s="631" t="str">
        <f t="shared" si="9"/>
        <v>catégorie 3</v>
      </c>
      <c r="AI133" s="631"/>
    </row>
    <row r="134" spans="1:35" ht="14">
      <c r="A134" t="s">
        <v>724</v>
      </c>
      <c r="B134" s="645" t="s">
        <v>47</v>
      </c>
      <c r="C134" s="651">
        <v>29542</v>
      </c>
      <c r="D134" s="652">
        <v>38680</v>
      </c>
      <c r="E134" s="473" t="s">
        <v>501</v>
      </c>
      <c r="F134" s="1029" t="s">
        <v>3</v>
      </c>
      <c r="G134" s="472" t="s">
        <v>395</v>
      </c>
      <c r="H134" s="472" t="s">
        <v>392</v>
      </c>
      <c r="I134" s="474" t="s">
        <v>22</v>
      </c>
      <c r="J134" s="474" t="s">
        <v>28</v>
      </c>
      <c r="K134" s="475" t="s">
        <v>43</v>
      </c>
      <c r="L134" s="861" t="str">
        <f t="shared" si="5"/>
        <v>salarié</v>
      </c>
      <c r="M134" s="483" t="s">
        <v>48</v>
      </c>
      <c r="N134" s="483" t="s">
        <v>0</v>
      </c>
      <c r="O134" s="486">
        <v>1</v>
      </c>
      <c r="P134" s="481" t="s">
        <v>58</v>
      </c>
      <c r="Q134" s="482" t="s">
        <v>33</v>
      </c>
      <c r="R134" s="478">
        <v>1</v>
      </c>
      <c r="S134" s="479">
        <v>14</v>
      </c>
      <c r="T134" s="1">
        <v>36400</v>
      </c>
      <c r="U134" s="656">
        <v>21482.696396953514</v>
      </c>
      <c r="V134" s="479">
        <v>250</v>
      </c>
      <c r="W134" s="483">
        <v>1</v>
      </c>
      <c r="X134" s="476">
        <v>0</v>
      </c>
      <c r="Y134" s="476">
        <v>0</v>
      </c>
      <c r="Z134" s="476">
        <v>0</v>
      </c>
      <c r="AA134" s="646" t="s">
        <v>998</v>
      </c>
      <c r="AB134" s="647">
        <f t="shared" si="6"/>
        <v>39</v>
      </c>
      <c r="AC134" s="647">
        <f t="shared" si="7"/>
        <v>14</v>
      </c>
      <c r="AD134" s="648" t="str">
        <f>IF(AB134="","",VLOOKUP(AB134,trancheage[],2,TRUE))</f>
        <v>40 à 49 ans</v>
      </c>
      <c r="AE134" s="648" t="str">
        <f>IFERROR(VLOOKUP(AC134,trancheanciennete[],2,TRUE),"")</f>
        <v>4 : 15-19</v>
      </c>
      <c r="AF134" s="649" t="str">
        <f>IF(T134&gt;0,VLOOKUP(T134,Trancheremuneration[],2,TRUE),"")</f>
        <v>5 : + de 23 000</v>
      </c>
      <c r="AG134" s="650">
        <f t="shared" si="8"/>
        <v>21732.696396953514</v>
      </c>
      <c r="AH134" s="631" t="str">
        <f t="shared" si="9"/>
        <v>catégorie 1</v>
      </c>
      <c r="AI134" s="631"/>
    </row>
    <row r="135" spans="1:35" ht="14">
      <c r="A135" t="s">
        <v>725</v>
      </c>
      <c r="B135" s="645" t="s">
        <v>27</v>
      </c>
      <c r="C135" s="651">
        <v>22963</v>
      </c>
      <c r="D135" s="652">
        <v>38684</v>
      </c>
      <c r="E135" s="473" t="s">
        <v>502</v>
      </c>
      <c r="F135" s="1029" t="s">
        <v>50</v>
      </c>
      <c r="G135" s="472" t="s">
        <v>395</v>
      </c>
      <c r="H135" s="472" t="s">
        <v>392</v>
      </c>
      <c r="I135" s="474" t="s">
        <v>22</v>
      </c>
      <c r="J135" s="474" t="s">
        <v>28</v>
      </c>
      <c r="K135" s="475" t="s">
        <v>43</v>
      </c>
      <c r="L135" s="861" t="str">
        <f t="shared" si="5"/>
        <v>salarié</v>
      </c>
      <c r="M135" s="483" t="s">
        <v>48</v>
      </c>
      <c r="N135" s="483" t="s">
        <v>0</v>
      </c>
      <c r="O135" s="486">
        <v>1</v>
      </c>
      <c r="P135" s="481" t="s">
        <v>58</v>
      </c>
      <c r="Q135" s="482" t="s">
        <v>31</v>
      </c>
      <c r="R135" s="478">
        <v>0</v>
      </c>
      <c r="S135" s="479">
        <v>7</v>
      </c>
      <c r="T135" s="1">
        <v>19600</v>
      </c>
      <c r="U135" s="656">
        <v>55231.13249129249</v>
      </c>
      <c r="V135" s="479">
        <v>500</v>
      </c>
      <c r="W135" s="483">
        <v>0</v>
      </c>
      <c r="X135" s="476">
        <v>1</v>
      </c>
      <c r="Y135" s="476">
        <v>0</v>
      </c>
      <c r="Z135" s="476">
        <v>0</v>
      </c>
      <c r="AA135" s="646" t="s">
        <v>998</v>
      </c>
      <c r="AB135" s="647">
        <f t="shared" si="6"/>
        <v>57</v>
      </c>
      <c r="AC135" s="647">
        <f t="shared" si="7"/>
        <v>14</v>
      </c>
      <c r="AD135" s="648" t="str">
        <f>IF(AB135="","",VLOOKUP(AB135,trancheage[],2,TRUE))</f>
        <v>50 ans et plus</v>
      </c>
      <c r="AE135" s="648" t="str">
        <f>IFERROR(VLOOKUP(AC135,trancheanciennete[],2,TRUE),"")</f>
        <v>4 : 15-19</v>
      </c>
      <c r="AF135" s="649" t="str">
        <f>IF(T135&gt;0,VLOOKUP(T135,Trancheremuneration[],2,TRUE),"")</f>
        <v>3:17 000-20 000</v>
      </c>
      <c r="AG135" s="650">
        <f t="shared" si="8"/>
        <v>55731.13249129249</v>
      </c>
      <c r="AH135" s="631" t="str">
        <f t="shared" si="9"/>
        <v>catégorie 1</v>
      </c>
      <c r="AI135" s="631"/>
    </row>
    <row r="136" spans="1:35" ht="14">
      <c r="A136" t="s">
        <v>726</v>
      </c>
      <c r="B136" s="645" t="s">
        <v>27</v>
      </c>
      <c r="C136" s="651">
        <v>26061</v>
      </c>
      <c r="D136" s="652">
        <v>38745</v>
      </c>
      <c r="E136" s="473" t="s">
        <v>505</v>
      </c>
      <c r="F136" s="1029" t="s">
        <v>3</v>
      </c>
      <c r="G136" s="472" t="s">
        <v>396</v>
      </c>
      <c r="H136" s="472" t="s">
        <v>394</v>
      </c>
      <c r="I136" s="474" t="s">
        <v>23</v>
      </c>
      <c r="J136" s="474" t="s">
        <v>18</v>
      </c>
      <c r="K136" s="475" t="s">
        <v>306</v>
      </c>
      <c r="L136" s="861" t="str">
        <f t="shared" si="5"/>
        <v>salarié</v>
      </c>
      <c r="M136" s="485" t="s">
        <v>48</v>
      </c>
      <c r="N136" s="485" t="s">
        <v>0</v>
      </c>
      <c r="O136" s="486">
        <v>1</v>
      </c>
      <c r="P136" s="481" t="s">
        <v>58</v>
      </c>
      <c r="Q136" s="482" t="s">
        <v>31</v>
      </c>
      <c r="R136" s="478">
        <v>1</v>
      </c>
      <c r="S136" s="479">
        <v>0</v>
      </c>
      <c r="T136" s="1">
        <v>49840</v>
      </c>
      <c r="U136" s="656">
        <v>28565.104428200088</v>
      </c>
      <c r="V136" s="479">
        <v>500</v>
      </c>
      <c r="W136" s="483">
        <v>1</v>
      </c>
      <c r="X136" s="476">
        <v>1</v>
      </c>
      <c r="Y136" s="476">
        <v>0</v>
      </c>
      <c r="Z136" s="476">
        <v>0</v>
      </c>
      <c r="AA136" s="646" t="s">
        <v>998</v>
      </c>
      <c r="AB136" s="647">
        <f t="shared" si="6"/>
        <v>49</v>
      </c>
      <c r="AC136" s="647">
        <f t="shared" si="7"/>
        <v>14</v>
      </c>
      <c r="AD136" s="648" t="str">
        <f>IF(AB136="","",VLOOKUP(AB136,trancheage[],2,TRUE))</f>
        <v>50 ans et plus</v>
      </c>
      <c r="AE136" s="648" t="str">
        <f>IFERROR(VLOOKUP(AC136,trancheanciennete[],2,TRUE),"")</f>
        <v>4 : 15-19</v>
      </c>
      <c r="AF136" s="649" t="str">
        <f>IF(T136&gt;0,VLOOKUP(T136,Trancheremuneration[],2,TRUE),"")</f>
        <v>5 : + de 23 000</v>
      </c>
      <c r="AG136" s="650">
        <f t="shared" si="8"/>
        <v>29065.104428200088</v>
      </c>
      <c r="AH136" s="631" t="str">
        <f t="shared" si="9"/>
        <v>catégorie 3</v>
      </c>
      <c r="AI136" s="631"/>
    </row>
    <row r="137" spans="1:35" ht="14">
      <c r="A137" t="s">
        <v>727</v>
      </c>
      <c r="B137" s="645" t="s">
        <v>27</v>
      </c>
      <c r="C137" s="651">
        <v>25614</v>
      </c>
      <c r="D137" s="652">
        <v>38817</v>
      </c>
      <c r="E137" s="473" t="s">
        <v>501</v>
      </c>
      <c r="F137" s="1029" t="s">
        <v>50</v>
      </c>
      <c r="G137" s="472" t="s">
        <v>396</v>
      </c>
      <c r="H137" s="472" t="s">
        <v>392</v>
      </c>
      <c r="I137" s="474" t="s">
        <v>22</v>
      </c>
      <c r="J137" s="474" t="s">
        <v>28</v>
      </c>
      <c r="K137" s="475" t="s">
        <v>43</v>
      </c>
      <c r="L137" s="861" t="str">
        <f t="shared" si="5"/>
        <v>salarié</v>
      </c>
      <c r="M137" s="483" t="s">
        <v>48</v>
      </c>
      <c r="N137" s="483" t="s">
        <v>0</v>
      </c>
      <c r="O137" s="486">
        <v>0.8</v>
      </c>
      <c r="P137" s="481" t="s">
        <v>59</v>
      </c>
      <c r="Q137" s="482" t="s">
        <v>32</v>
      </c>
      <c r="R137" s="478">
        <v>0</v>
      </c>
      <c r="S137" s="479">
        <v>0</v>
      </c>
      <c r="T137" s="1">
        <v>25000</v>
      </c>
      <c r="U137" s="656">
        <v>22153.990747239281</v>
      </c>
      <c r="V137" s="479">
        <v>250</v>
      </c>
      <c r="W137" s="483">
        <v>0</v>
      </c>
      <c r="X137" s="476">
        <v>0</v>
      </c>
      <c r="Y137" s="476">
        <v>0</v>
      </c>
      <c r="Z137" s="476">
        <v>0</v>
      </c>
      <c r="AA137" s="646" t="s">
        <v>998</v>
      </c>
      <c r="AB137" s="647">
        <f t="shared" si="6"/>
        <v>50</v>
      </c>
      <c r="AC137" s="647">
        <f t="shared" si="7"/>
        <v>14</v>
      </c>
      <c r="AD137" s="648" t="str">
        <f>IF(AB137="","",VLOOKUP(AB137,trancheage[],2,TRUE))</f>
        <v>50 ans et plus</v>
      </c>
      <c r="AE137" s="648" t="str">
        <f>IFERROR(VLOOKUP(AC137,trancheanciennete[],2,TRUE),"")</f>
        <v>4 : 15-19</v>
      </c>
      <c r="AF137" s="649" t="str">
        <f>IF(T137&gt;0,VLOOKUP(T137,Trancheremuneration[],2,TRUE),"")</f>
        <v>5 : + de 23 000</v>
      </c>
      <c r="AG137" s="650">
        <f t="shared" si="8"/>
        <v>26834.788896687136</v>
      </c>
      <c r="AH137" s="631" t="str">
        <f t="shared" si="9"/>
        <v>catégorie 1</v>
      </c>
      <c r="AI137" s="631"/>
    </row>
    <row r="138" spans="1:35" ht="14">
      <c r="A138" t="s">
        <v>728</v>
      </c>
      <c r="B138" s="645" t="s">
        <v>27</v>
      </c>
      <c r="C138" s="651">
        <v>23140</v>
      </c>
      <c r="D138" s="652">
        <v>38831</v>
      </c>
      <c r="E138" s="473" t="s">
        <v>501</v>
      </c>
      <c r="F138" s="1029" t="s">
        <v>50</v>
      </c>
      <c r="G138" s="472" t="s">
        <v>397</v>
      </c>
      <c r="H138" s="472" t="s">
        <v>392</v>
      </c>
      <c r="I138" s="474" t="s">
        <v>23</v>
      </c>
      <c r="J138" s="474" t="s">
        <v>18</v>
      </c>
      <c r="K138" s="475" t="s">
        <v>11</v>
      </c>
      <c r="L138" s="861" t="str">
        <f t="shared" si="5"/>
        <v>salarié</v>
      </c>
      <c r="M138" s="485" t="s">
        <v>48</v>
      </c>
      <c r="N138" s="485" t="s">
        <v>0</v>
      </c>
      <c r="O138" s="486">
        <v>0.8</v>
      </c>
      <c r="P138" s="481" t="s">
        <v>59</v>
      </c>
      <c r="Q138" s="482" t="s">
        <v>32</v>
      </c>
      <c r="R138" s="478">
        <v>0</v>
      </c>
      <c r="S138" s="479">
        <v>0</v>
      </c>
      <c r="T138" s="1">
        <v>22720</v>
      </c>
      <c r="U138" s="656">
        <v>29615.722811342021</v>
      </c>
      <c r="V138" s="479">
        <v>250</v>
      </c>
      <c r="W138" s="483">
        <v>0</v>
      </c>
      <c r="X138" s="476">
        <v>1</v>
      </c>
      <c r="Y138" s="476">
        <v>0</v>
      </c>
      <c r="Z138" s="476">
        <v>0</v>
      </c>
      <c r="AA138" s="646" t="s">
        <v>998</v>
      </c>
      <c r="AB138" s="647">
        <f t="shared" si="6"/>
        <v>57</v>
      </c>
      <c r="AC138" s="647">
        <f t="shared" si="7"/>
        <v>14</v>
      </c>
      <c r="AD138" s="648" t="str">
        <f>IF(AB138="","",VLOOKUP(AB138,trancheage[],2,TRUE))</f>
        <v>50 ans et plus</v>
      </c>
      <c r="AE138" s="648" t="str">
        <f>IFERROR(VLOOKUP(AC138,trancheanciennete[],2,TRUE),"")</f>
        <v>4 : 15-19</v>
      </c>
      <c r="AF138" s="649" t="str">
        <f>IF(T138&gt;0,VLOOKUP(T138,Trancheremuneration[],2,TRUE),"")</f>
        <v>4: 20 000-23 000</v>
      </c>
      <c r="AG138" s="650">
        <f t="shared" si="8"/>
        <v>35788.867373610425</v>
      </c>
      <c r="AH138" s="631" t="str">
        <f t="shared" si="9"/>
        <v>catégorie 1</v>
      </c>
      <c r="AI138" s="631"/>
    </row>
    <row r="139" spans="1:35" ht="14">
      <c r="A139" t="s">
        <v>729</v>
      </c>
      <c r="B139" s="645" t="s">
        <v>27</v>
      </c>
      <c r="C139" s="651">
        <v>31472</v>
      </c>
      <c r="D139" s="652">
        <v>38980</v>
      </c>
      <c r="E139" s="473" t="s">
        <v>505</v>
      </c>
      <c r="F139" s="1029" t="s">
        <v>49</v>
      </c>
      <c r="G139" s="472" t="s">
        <v>398</v>
      </c>
      <c r="H139" s="472" t="s">
        <v>392</v>
      </c>
      <c r="I139" s="474" t="s">
        <v>23</v>
      </c>
      <c r="J139" s="474" t="s">
        <v>18</v>
      </c>
      <c r="K139" s="475" t="s">
        <v>44</v>
      </c>
      <c r="L139" s="861" t="str">
        <f t="shared" si="5"/>
        <v>salarié</v>
      </c>
      <c r="M139" s="485" t="s">
        <v>42</v>
      </c>
      <c r="N139" s="485" t="s">
        <v>0</v>
      </c>
      <c r="O139" s="486">
        <v>1</v>
      </c>
      <c r="P139" s="481" t="s">
        <v>59</v>
      </c>
      <c r="Q139" s="482" t="s">
        <v>30</v>
      </c>
      <c r="R139" s="478">
        <v>0</v>
      </c>
      <c r="S139" s="479">
        <v>14</v>
      </c>
      <c r="T139" s="1">
        <v>34720</v>
      </c>
      <c r="U139" s="656">
        <v>63297.413159511823</v>
      </c>
      <c r="V139" s="479">
        <v>250</v>
      </c>
      <c r="W139" s="483">
        <v>0</v>
      </c>
      <c r="X139" s="476">
        <v>0</v>
      </c>
      <c r="Y139" s="476">
        <v>1</v>
      </c>
      <c r="Z139" s="476">
        <v>0</v>
      </c>
      <c r="AA139" s="646" t="s">
        <v>998</v>
      </c>
      <c r="AB139" s="647">
        <f t="shared" si="6"/>
        <v>34</v>
      </c>
      <c r="AC139" s="647">
        <f t="shared" si="7"/>
        <v>13</v>
      </c>
      <c r="AD139" s="648" t="str">
        <f>IF(AB139="","",VLOOKUP(AB139,trancheage[],2,TRUE))</f>
        <v>30 à 39 ans</v>
      </c>
      <c r="AE139" s="648" t="str">
        <f>IFERROR(VLOOKUP(AC139,trancheanciennete[],2,TRUE),"")</f>
        <v>3 : 10-14</v>
      </c>
      <c r="AF139" s="649" t="str">
        <f>IF(T139&gt;0,VLOOKUP(T139,Trancheremuneration[],2,TRUE),"")</f>
        <v>5 : + de 23 000</v>
      </c>
      <c r="AG139" s="650">
        <f t="shared" si="8"/>
        <v>63547.413159511823</v>
      </c>
      <c r="AH139" s="631" t="str">
        <f t="shared" si="9"/>
        <v>catégorie 1</v>
      </c>
      <c r="AI139" s="631"/>
    </row>
    <row r="140" spans="1:35" ht="14">
      <c r="A140" t="s">
        <v>730</v>
      </c>
      <c r="B140" s="645" t="s">
        <v>27</v>
      </c>
      <c r="C140" s="651">
        <v>28087</v>
      </c>
      <c r="D140" s="652">
        <v>39020</v>
      </c>
      <c r="E140" s="473" t="s">
        <v>501</v>
      </c>
      <c r="F140" s="1029" t="s">
        <v>49</v>
      </c>
      <c r="G140" s="472" t="s">
        <v>399</v>
      </c>
      <c r="H140" s="472" t="s">
        <v>392</v>
      </c>
      <c r="I140" s="474" t="s">
        <v>22</v>
      </c>
      <c r="J140" s="474" t="s">
        <v>28</v>
      </c>
      <c r="K140" s="475" t="s">
        <v>43</v>
      </c>
      <c r="L140" s="861" t="str">
        <f t="shared" si="5"/>
        <v>salarié</v>
      </c>
      <c r="M140" s="485" t="s">
        <v>48</v>
      </c>
      <c r="N140" s="485" t="s">
        <v>1</v>
      </c>
      <c r="O140" s="486">
        <v>0.8</v>
      </c>
      <c r="P140" s="481" t="s">
        <v>59</v>
      </c>
      <c r="Q140" s="482" t="s">
        <v>30</v>
      </c>
      <c r="R140" s="478">
        <v>0</v>
      </c>
      <c r="S140" s="479">
        <v>14</v>
      </c>
      <c r="T140" s="1">
        <v>61000</v>
      </c>
      <c r="U140" s="656">
        <v>34396.47936039092</v>
      </c>
      <c r="V140" s="479">
        <v>250</v>
      </c>
      <c r="W140" s="483">
        <v>0</v>
      </c>
      <c r="X140" s="476">
        <v>0</v>
      </c>
      <c r="Y140" s="476">
        <v>0</v>
      </c>
      <c r="Z140" s="476">
        <v>0</v>
      </c>
      <c r="AA140" s="646" t="s">
        <v>998</v>
      </c>
      <c r="AB140" s="647">
        <f t="shared" si="6"/>
        <v>43</v>
      </c>
      <c r="AC140" s="647">
        <f t="shared" si="7"/>
        <v>13</v>
      </c>
      <c r="AD140" s="648" t="str">
        <f>IF(AB140="","",VLOOKUP(AB140,trancheage[],2,TRUE))</f>
        <v>40 à 49 ans</v>
      </c>
      <c r="AE140" s="648" t="str">
        <f>IFERROR(VLOOKUP(AC140,trancheanciennete[],2,TRUE),"")</f>
        <v>3 : 10-14</v>
      </c>
      <c r="AF140" s="649" t="str">
        <f>IF(T140&gt;0,VLOOKUP(T140,Trancheremuneration[],2,TRUE),"")</f>
        <v>5 : + de 23 000</v>
      </c>
      <c r="AG140" s="650">
        <f t="shared" si="8"/>
        <v>41525.775232469103</v>
      </c>
      <c r="AH140" s="631" t="str">
        <f t="shared" si="9"/>
        <v>catégorie 1</v>
      </c>
      <c r="AI140" s="631"/>
    </row>
    <row r="141" spans="1:35" ht="14">
      <c r="A141" t="s">
        <v>612</v>
      </c>
      <c r="B141" s="645" t="s">
        <v>47</v>
      </c>
      <c r="C141" s="651">
        <v>31321</v>
      </c>
      <c r="D141" s="652">
        <v>39043</v>
      </c>
      <c r="E141" s="473" t="s">
        <v>501</v>
      </c>
      <c r="F141" s="1029" t="s">
        <v>3</v>
      </c>
      <c r="G141" s="472" t="s">
        <v>397</v>
      </c>
      <c r="H141" s="472" t="s">
        <v>392</v>
      </c>
      <c r="I141" s="474" t="s">
        <v>22</v>
      </c>
      <c r="J141" s="474" t="s">
        <v>28</v>
      </c>
      <c r="K141" s="475" t="s">
        <v>43</v>
      </c>
      <c r="L141" s="861" t="str">
        <f t="shared" si="5"/>
        <v>salarié</v>
      </c>
      <c r="M141" s="485" t="s">
        <v>42</v>
      </c>
      <c r="N141" s="485" t="s">
        <v>1</v>
      </c>
      <c r="O141" s="486">
        <v>0.5</v>
      </c>
      <c r="P141" s="481" t="s">
        <v>59</v>
      </c>
      <c r="Q141" s="482" t="s">
        <v>31</v>
      </c>
      <c r="R141" s="478">
        <v>0</v>
      </c>
      <c r="S141" s="479">
        <v>0</v>
      </c>
      <c r="T141" s="1">
        <v>28600</v>
      </c>
      <c r="U141" s="656">
        <v>31455.664534208503</v>
      </c>
      <c r="V141" s="479">
        <v>250</v>
      </c>
      <c r="W141" s="483">
        <v>0</v>
      </c>
      <c r="X141" s="476">
        <v>1</v>
      </c>
      <c r="Y141" s="476">
        <v>0</v>
      </c>
      <c r="Z141" s="476">
        <v>0</v>
      </c>
      <c r="AA141" s="646" t="s">
        <v>998</v>
      </c>
      <c r="AB141" s="647">
        <f t="shared" si="6"/>
        <v>34</v>
      </c>
      <c r="AC141" s="647">
        <f t="shared" si="7"/>
        <v>13</v>
      </c>
      <c r="AD141" s="648" t="str">
        <f>IF(AB141="","",VLOOKUP(AB141,trancheage[],2,TRUE))</f>
        <v>30 à 39 ans</v>
      </c>
      <c r="AE141" s="648" t="str">
        <f>IFERROR(VLOOKUP(AC141,trancheanciennete[],2,TRUE),"")</f>
        <v>3 : 10-14</v>
      </c>
      <c r="AF141" s="649" t="str">
        <f>IF(T141&gt;0,VLOOKUP(T141,Trancheremuneration[],2,TRUE),"")</f>
        <v>5 : + de 23 000</v>
      </c>
      <c r="AG141" s="650">
        <f t="shared" si="8"/>
        <v>47433.496801312751</v>
      </c>
      <c r="AH141" s="631" t="str">
        <f t="shared" si="9"/>
        <v>catégorie 1</v>
      </c>
      <c r="AI141" s="631"/>
    </row>
    <row r="142" spans="1:35" ht="14">
      <c r="A142" t="s">
        <v>731</v>
      </c>
      <c r="B142" s="645" t="s">
        <v>47</v>
      </c>
      <c r="C142" s="651">
        <v>27582</v>
      </c>
      <c r="D142" s="652">
        <v>39088</v>
      </c>
      <c r="E142" s="473" t="s">
        <v>504</v>
      </c>
      <c r="F142" s="1029" t="s">
        <v>50</v>
      </c>
      <c r="G142" s="472" t="s">
        <v>398</v>
      </c>
      <c r="H142" s="472" t="s">
        <v>392</v>
      </c>
      <c r="I142" s="474" t="s">
        <v>22</v>
      </c>
      <c r="J142" s="474" t="s">
        <v>28</v>
      </c>
      <c r="K142" s="475" t="s">
        <v>43</v>
      </c>
      <c r="L142" s="861" t="str">
        <f t="shared" si="5"/>
        <v>salarié</v>
      </c>
      <c r="M142" s="485" t="s">
        <v>48</v>
      </c>
      <c r="N142" s="485" t="s">
        <v>1</v>
      </c>
      <c r="O142" s="486">
        <v>1</v>
      </c>
      <c r="P142" s="481" t="s">
        <v>59</v>
      </c>
      <c r="Q142" s="482" t="s">
        <v>31</v>
      </c>
      <c r="R142" s="478">
        <v>0</v>
      </c>
      <c r="S142" s="479">
        <v>0</v>
      </c>
      <c r="T142" s="1">
        <v>37840</v>
      </c>
      <c r="U142" s="656">
        <v>25871.461468719062</v>
      </c>
      <c r="V142" s="479">
        <v>100</v>
      </c>
      <c r="W142" s="483">
        <v>0</v>
      </c>
      <c r="X142" s="476">
        <v>1</v>
      </c>
      <c r="Y142" s="476">
        <v>0</v>
      </c>
      <c r="Z142" s="476">
        <v>0</v>
      </c>
      <c r="AA142" s="646" t="s">
        <v>998</v>
      </c>
      <c r="AB142" s="647">
        <f t="shared" si="6"/>
        <v>45</v>
      </c>
      <c r="AC142" s="647">
        <f t="shared" si="7"/>
        <v>13</v>
      </c>
      <c r="AD142" s="648" t="str">
        <f>IF(AB142="","",VLOOKUP(AB142,trancheage[],2,TRUE))</f>
        <v>40 à 49 ans</v>
      </c>
      <c r="AE142" s="648" t="str">
        <f>IFERROR(VLOOKUP(AC142,trancheanciennete[],2,TRUE),"")</f>
        <v>3 : 10-14</v>
      </c>
      <c r="AF142" s="649" t="str">
        <f>IF(T142&gt;0,VLOOKUP(T142,Trancheremuneration[],2,TRUE),"")</f>
        <v>5 : + de 23 000</v>
      </c>
      <c r="AG142" s="650">
        <f t="shared" si="8"/>
        <v>25971.461468719062</v>
      </c>
      <c r="AH142" s="631" t="str">
        <f t="shared" si="9"/>
        <v>catégorie 1</v>
      </c>
      <c r="AI142" s="631"/>
    </row>
    <row r="143" spans="1:35" ht="14">
      <c r="A143" t="s">
        <v>593</v>
      </c>
      <c r="B143" s="645" t="s">
        <v>27</v>
      </c>
      <c r="C143" s="651">
        <v>28499</v>
      </c>
      <c r="D143" s="652">
        <v>39122</v>
      </c>
      <c r="E143" s="473" t="s">
        <v>505</v>
      </c>
      <c r="F143" s="1029" t="s">
        <v>3</v>
      </c>
      <c r="G143" s="472" t="s">
        <v>395</v>
      </c>
      <c r="H143" s="472" t="s">
        <v>392</v>
      </c>
      <c r="I143" s="474" t="s">
        <v>22</v>
      </c>
      <c r="J143" s="474" t="s">
        <v>28</v>
      </c>
      <c r="K143" s="475" t="s">
        <v>56</v>
      </c>
      <c r="L143" s="861" t="str">
        <f t="shared" ref="L143:L206" si="10">"salarié"</f>
        <v>salarié</v>
      </c>
      <c r="M143" s="485" t="s">
        <v>48</v>
      </c>
      <c r="N143" s="485" t="s">
        <v>1</v>
      </c>
      <c r="O143" s="486">
        <v>0.8</v>
      </c>
      <c r="P143" s="481" t="s">
        <v>59</v>
      </c>
      <c r="Q143" s="482" t="s">
        <v>30</v>
      </c>
      <c r="R143" s="478">
        <v>1</v>
      </c>
      <c r="S143" s="479">
        <v>21</v>
      </c>
      <c r="T143" s="1">
        <v>23440</v>
      </c>
      <c r="U143" s="656">
        <v>35783.501524842031</v>
      </c>
      <c r="V143" s="479">
        <v>250</v>
      </c>
      <c r="W143" s="483">
        <v>1</v>
      </c>
      <c r="X143" s="476">
        <v>0</v>
      </c>
      <c r="Y143" s="476">
        <v>0</v>
      </c>
      <c r="Z143" s="476">
        <v>0</v>
      </c>
      <c r="AA143" s="646" t="s">
        <v>998</v>
      </c>
      <c r="AB143" s="647">
        <f t="shared" ref="AB143:AB206" si="11">IF(ISBLANK(C143),"",DATEDIF(C143,dref,"y"))</f>
        <v>42</v>
      </c>
      <c r="AC143" s="647">
        <f t="shared" ref="AC143:AC206" si="12">IF(ISBLANK(C143),"",DATEDIF(D143,dref,"y"))</f>
        <v>13</v>
      </c>
      <c r="AD143" s="648" t="str">
        <f>IF(AB143="","",VLOOKUP(AB143,trancheage[],2,TRUE))</f>
        <v>40 à 49 ans</v>
      </c>
      <c r="AE143" s="648" t="str">
        <f>IFERROR(VLOOKUP(AC143,trancheanciennete[],2,TRUE),"")</f>
        <v>3 : 10-14</v>
      </c>
      <c r="AF143" s="649" t="str">
        <f>IF(T143&gt;0,VLOOKUP(T143,Trancheremuneration[],2,TRUE),"")</f>
        <v>5 : + de 23 000</v>
      </c>
      <c r="AG143" s="650">
        <f t="shared" ref="AG143:AG206" si="13">IF((U143*(1+(100%-O143)))+V143=0,"",(U143*(1+(100%-O143)))+V143)</f>
        <v>43190.201829810438</v>
      </c>
      <c r="AH143" s="631" t="str">
        <f t="shared" ref="AH143:AH206" si="14">IF(coefchoisi=$AS$15,F143,IF(coefchoisi=$AS$16,G143,IF(coefchoisi=$AS$17,H143,1)))</f>
        <v>catégorie 1</v>
      </c>
      <c r="AI143" s="631"/>
    </row>
    <row r="144" spans="1:35" ht="14">
      <c r="A144" t="s">
        <v>732</v>
      </c>
      <c r="B144" s="645" t="s">
        <v>27</v>
      </c>
      <c r="C144" s="651">
        <v>24611</v>
      </c>
      <c r="D144" s="652">
        <v>39146</v>
      </c>
      <c r="E144" s="473" t="s">
        <v>501</v>
      </c>
      <c r="F144" s="1029" t="s">
        <v>3</v>
      </c>
      <c r="G144" s="472" t="s">
        <v>395</v>
      </c>
      <c r="H144" s="472" t="s">
        <v>392</v>
      </c>
      <c r="I144" s="474" t="s">
        <v>22</v>
      </c>
      <c r="J144" s="474" t="s">
        <v>28</v>
      </c>
      <c r="K144" s="475" t="s">
        <v>35</v>
      </c>
      <c r="L144" s="861" t="str">
        <f t="shared" si="10"/>
        <v>salarié</v>
      </c>
      <c r="M144" s="485" t="s">
        <v>48</v>
      </c>
      <c r="N144" s="485" t="s">
        <v>1</v>
      </c>
      <c r="O144" s="486">
        <v>0.8</v>
      </c>
      <c r="P144" s="481" t="s">
        <v>59</v>
      </c>
      <c r="Q144" s="482" t="s">
        <v>32</v>
      </c>
      <c r="R144" s="478">
        <v>0</v>
      </c>
      <c r="S144" s="479">
        <v>0</v>
      </c>
      <c r="T144" s="1">
        <v>37240</v>
      </c>
      <c r="U144" s="656">
        <v>47150.209801328267</v>
      </c>
      <c r="V144" s="479">
        <v>100</v>
      </c>
      <c r="W144" s="483">
        <v>0</v>
      </c>
      <c r="X144" s="476">
        <v>1</v>
      </c>
      <c r="Y144" s="476">
        <v>0</v>
      </c>
      <c r="Z144" s="476">
        <v>0</v>
      </c>
      <c r="AA144" s="646" t="s">
        <v>998</v>
      </c>
      <c r="AB144" s="647">
        <f t="shared" si="11"/>
        <v>53</v>
      </c>
      <c r="AC144" s="647">
        <f t="shared" si="12"/>
        <v>13</v>
      </c>
      <c r="AD144" s="648" t="str">
        <f>IF(AB144="","",VLOOKUP(AB144,trancheage[],2,TRUE))</f>
        <v>50 ans et plus</v>
      </c>
      <c r="AE144" s="648" t="str">
        <f>IFERROR(VLOOKUP(AC144,trancheanciennete[],2,TRUE),"")</f>
        <v>3 : 10-14</v>
      </c>
      <c r="AF144" s="649" t="str">
        <f>IF(T144&gt;0,VLOOKUP(T144,Trancheremuneration[],2,TRUE),"")</f>
        <v>5 : + de 23 000</v>
      </c>
      <c r="AG144" s="650">
        <f t="shared" si="13"/>
        <v>56680.251761593921</v>
      </c>
      <c r="AH144" s="631" t="str">
        <f t="shared" si="14"/>
        <v>catégorie 1</v>
      </c>
      <c r="AI144" s="631"/>
    </row>
    <row r="145" spans="1:35" ht="14">
      <c r="A145" t="s">
        <v>733</v>
      </c>
      <c r="B145" s="645" t="s">
        <v>27</v>
      </c>
      <c r="C145" s="651">
        <v>26867</v>
      </c>
      <c r="D145" s="652">
        <v>39185</v>
      </c>
      <c r="E145" s="473" t="s">
        <v>501</v>
      </c>
      <c r="F145" s="1029" t="s">
        <v>3</v>
      </c>
      <c r="G145" s="472" t="s">
        <v>395</v>
      </c>
      <c r="H145" s="472" t="s">
        <v>392</v>
      </c>
      <c r="I145" s="474" t="s">
        <v>22</v>
      </c>
      <c r="J145" s="474" t="s">
        <v>28</v>
      </c>
      <c r="K145" s="475" t="s">
        <v>43</v>
      </c>
      <c r="L145" s="861" t="str">
        <f t="shared" si="10"/>
        <v>salarié</v>
      </c>
      <c r="M145" s="485" t="s">
        <v>48</v>
      </c>
      <c r="N145" s="485" t="s">
        <v>1</v>
      </c>
      <c r="O145" s="484">
        <v>0.8</v>
      </c>
      <c r="P145" s="476" t="s">
        <v>58</v>
      </c>
      <c r="Q145" s="477" t="s">
        <v>34</v>
      </c>
      <c r="R145" s="478">
        <v>1</v>
      </c>
      <c r="S145" s="479">
        <v>7</v>
      </c>
      <c r="T145" s="1">
        <v>43000</v>
      </c>
      <c r="U145" s="656">
        <v>58284.15753012606</v>
      </c>
      <c r="V145" s="479">
        <v>250</v>
      </c>
      <c r="W145" s="483">
        <v>1</v>
      </c>
      <c r="X145" s="476">
        <v>0</v>
      </c>
      <c r="Y145" s="476">
        <v>1</v>
      </c>
      <c r="Z145" s="476">
        <v>0</v>
      </c>
      <c r="AA145" s="646" t="s">
        <v>998</v>
      </c>
      <c r="AB145" s="647">
        <f t="shared" si="11"/>
        <v>47</v>
      </c>
      <c r="AC145" s="647">
        <f t="shared" si="12"/>
        <v>13</v>
      </c>
      <c r="AD145" s="648" t="str">
        <f>IF(AB145="","",VLOOKUP(AB145,trancheage[],2,TRUE))</f>
        <v>40 à 49 ans</v>
      </c>
      <c r="AE145" s="648" t="str">
        <f>IFERROR(VLOOKUP(AC145,trancheanciennete[],2,TRUE),"")</f>
        <v>3 : 10-14</v>
      </c>
      <c r="AF145" s="649" t="str">
        <f>IF(T145&gt;0,VLOOKUP(T145,Trancheremuneration[],2,TRUE),"")</f>
        <v>5 : + de 23 000</v>
      </c>
      <c r="AG145" s="650">
        <f t="shared" si="13"/>
        <v>70190.989036151266</v>
      </c>
      <c r="AH145" s="631" t="str">
        <f t="shared" si="14"/>
        <v>catégorie 1</v>
      </c>
      <c r="AI145" s="631"/>
    </row>
    <row r="146" spans="1:35" ht="14">
      <c r="A146" t="s">
        <v>692</v>
      </c>
      <c r="B146" s="645" t="s">
        <v>47</v>
      </c>
      <c r="C146" s="651">
        <v>29207</v>
      </c>
      <c r="D146" s="652">
        <v>39240</v>
      </c>
      <c r="E146" s="473" t="s">
        <v>504</v>
      </c>
      <c r="F146" s="1029" t="s">
        <v>3</v>
      </c>
      <c r="G146" s="472" t="s">
        <v>399</v>
      </c>
      <c r="H146" s="472" t="s">
        <v>392</v>
      </c>
      <c r="I146" s="474" t="s">
        <v>22</v>
      </c>
      <c r="J146" s="474" t="s">
        <v>29</v>
      </c>
      <c r="K146" s="475" t="s">
        <v>43</v>
      </c>
      <c r="L146" s="861" t="str">
        <f t="shared" si="10"/>
        <v>salarié</v>
      </c>
      <c r="M146" s="485" t="s">
        <v>48</v>
      </c>
      <c r="N146" s="485" t="s">
        <v>1</v>
      </c>
      <c r="O146" s="484">
        <v>0.5</v>
      </c>
      <c r="P146" s="476" t="s">
        <v>58</v>
      </c>
      <c r="Q146" s="477" t="s">
        <v>30</v>
      </c>
      <c r="R146" s="478">
        <v>0</v>
      </c>
      <c r="S146" s="479">
        <v>7</v>
      </c>
      <c r="T146" s="1">
        <v>57400</v>
      </c>
      <c r="U146" s="656">
        <v>22153.990747239281</v>
      </c>
      <c r="V146" s="479">
        <v>250</v>
      </c>
      <c r="W146" s="483">
        <v>0</v>
      </c>
      <c r="X146" s="476">
        <v>0</v>
      </c>
      <c r="Y146" s="476">
        <v>1</v>
      </c>
      <c r="Z146" s="476">
        <v>0</v>
      </c>
      <c r="AA146" s="646" t="s">
        <v>998</v>
      </c>
      <c r="AB146" s="647">
        <f t="shared" si="11"/>
        <v>40</v>
      </c>
      <c r="AC146" s="647">
        <f t="shared" si="12"/>
        <v>13</v>
      </c>
      <c r="AD146" s="648" t="str">
        <f>IF(AB146="","",VLOOKUP(AB146,trancheage[],2,TRUE))</f>
        <v>40 à 49 ans</v>
      </c>
      <c r="AE146" s="648" t="str">
        <f>IFERROR(VLOOKUP(AC146,trancheanciennete[],2,TRUE),"")</f>
        <v>3 : 10-14</v>
      </c>
      <c r="AF146" s="649" t="str">
        <f>IF(T146&gt;0,VLOOKUP(T146,Trancheremuneration[],2,TRUE),"")</f>
        <v>5 : + de 23 000</v>
      </c>
      <c r="AG146" s="650">
        <f t="shared" si="13"/>
        <v>33480.986120858921</v>
      </c>
      <c r="AH146" s="631" t="str">
        <f t="shared" si="14"/>
        <v>catégorie 1</v>
      </c>
      <c r="AI146" s="631"/>
    </row>
    <row r="147" spans="1:35" ht="14">
      <c r="A147" t="s">
        <v>734</v>
      </c>
      <c r="B147" s="645" t="s">
        <v>47</v>
      </c>
      <c r="C147" s="651">
        <v>25203</v>
      </c>
      <c r="D147" s="652">
        <v>39260</v>
      </c>
      <c r="E147" s="473" t="s">
        <v>501</v>
      </c>
      <c r="F147" s="1029" t="s">
        <v>50</v>
      </c>
      <c r="G147" s="472" t="s">
        <v>396</v>
      </c>
      <c r="H147" s="472" t="s">
        <v>393</v>
      </c>
      <c r="I147" s="474" t="s">
        <v>38</v>
      </c>
      <c r="J147" s="474" t="s">
        <v>52</v>
      </c>
      <c r="K147" s="475" t="s">
        <v>37</v>
      </c>
      <c r="L147" s="861" t="str">
        <f t="shared" si="10"/>
        <v>salarié</v>
      </c>
      <c r="M147" s="485" t="s">
        <v>48</v>
      </c>
      <c r="N147" s="485" t="s">
        <v>1</v>
      </c>
      <c r="O147" s="486">
        <v>0.8</v>
      </c>
      <c r="P147" s="481" t="s">
        <v>58</v>
      </c>
      <c r="Q147" s="482" t="s">
        <v>34</v>
      </c>
      <c r="R147" s="478">
        <v>1</v>
      </c>
      <c r="S147" s="479">
        <v>14</v>
      </c>
      <c r="T147" s="1">
        <v>22720</v>
      </c>
      <c r="U147" s="656">
        <v>18441.716916400987</v>
      </c>
      <c r="V147" s="479">
        <v>250</v>
      </c>
      <c r="W147" s="483">
        <v>1</v>
      </c>
      <c r="X147" s="476">
        <v>0</v>
      </c>
      <c r="Y147" s="476">
        <v>0</v>
      </c>
      <c r="Z147" s="476">
        <v>0</v>
      </c>
      <c r="AA147" s="646" t="s">
        <v>998</v>
      </c>
      <c r="AB147" s="647">
        <f t="shared" si="11"/>
        <v>51</v>
      </c>
      <c r="AC147" s="647">
        <f t="shared" si="12"/>
        <v>13</v>
      </c>
      <c r="AD147" s="648" t="str">
        <f>IF(AB147="","",VLOOKUP(AB147,trancheage[],2,TRUE))</f>
        <v>50 ans et plus</v>
      </c>
      <c r="AE147" s="648" t="str">
        <f>IFERROR(VLOOKUP(AC147,trancheanciennete[],2,TRUE),"")</f>
        <v>3 : 10-14</v>
      </c>
      <c r="AF147" s="649" t="str">
        <f>IF(T147&gt;0,VLOOKUP(T147,Trancheremuneration[],2,TRUE),"")</f>
        <v>4: 20 000-23 000</v>
      </c>
      <c r="AG147" s="650">
        <f t="shared" si="13"/>
        <v>22380.060299681183</v>
      </c>
      <c r="AH147" s="631" t="str">
        <f t="shared" si="14"/>
        <v>catégorie 2</v>
      </c>
      <c r="AI147" s="631"/>
    </row>
    <row r="148" spans="1:35" ht="14">
      <c r="A148" t="s">
        <v>602</v>
      </c>
      <c r="B148" s="645" t="s">
        <v>27</v>
      </c>
      <c r="C148" s="651">
        <v>30865</v>
      </c>
      <c r="D148" s="652">
        <v>39266</v>
      </c>
      <c r="E148" s="473" t="s">
        <v>501</v>
      </c>
      <c r="F148" s="1029" t="s">
        <v>50</v>
      </c>
      <c r="G148" s="472" t="s">
        <v>397</v>
      </c>
      <c r="H148" s="472" t="s">
        <v>392</v>
      </c>
      <c r="I148" s="474" t="s">
        <v>22</v>
      </c>
      <c r="J148" s="474" t="s">
        <v>29</v>
      </c>
      <c r="K148" s="475" t="s">
        <v>43</v>
      </c>
      <c r="L148" s="861" t="str">
        <f t="shared" si="10"/>
        <v>salarié</v>
      </c>
      <c r="M148" s="485" t="s">
        <v>48</v>
      </c>
      <c r="N148" s="485" t="s">
        <v>0</v>
      </c>
      <c r="O148" s="484">
        <v>0.5</v>
      </c>
      <c r="P148" s="476" t="s">
        <v>58</v>
      </c>
      <c r="Q148" s="477" t="s">
        <v>34</v>
      </c>
      <c r="R148" s="478">
        <v>0</v>
      </c>
      <c r="S148" s="479">
        <v>7</v>
      </c>
      <c r="T148" s="1">
        <v>22240</v>
      </c>
      <c r="U148" s="656">
        <v>15301.473660819251</v>
      </c>
      <c r="V148" s="479">
        <v>100</v>
      </c>
      <c r="W148" s="483">
        <v>0</v>
      </c>
      <c r="X148" s="476">
        <v>0</v>
      </c>
      <c r="Y148" s="476">
        <v>1</v>
      </c>
      <c r="Z148" s="476">
        <v>0</v>
      </c>
      <c r="AA148" s="646" t="s">
        <v>998</v>
      </c>
      <c r="AB148" s="647">
        <f t="shared" si="11"/>
        <v>36</v>
      </c>
      <c r="AC148" s="647">
        <f t="shared" si="12"/>
        <v>13</v>
      </c>
      <c r="AD148" s="648" t="str">
        <f>IF(AB148="","",VLOOKUP(AB148,trancheage[],2,TRUE))</f>
        <v>30 à 39 ans</v>
      </c>
      <c r="AE148" s="648" t="str">
        <f>IFERROR(VLOOKUP(AC148,trancheanciennete[],2,TRUE),"")</f>
        <v>3 : 10-14</v>
      </c>
      <c r="AF148" s="649" t="str">
        <f>IF(T148&gt;0,VLOOKUP(T148,Trancheremuneration[],2,TRUE),"")</f>
        <v>4: 20 000-23 000</v>
      </c>
      <c r="AG148" s="650">
        <f t="shared" si="13"/>
        <v>23052.210491228878</v>
      </c>
      <c r="AH148" s="631" t="str">
        <f t="shared" si="14"/>
        <v>catégorie 1</v>
      </c>
      <c r="AI148" s="631"/>
    </row>
    <row r="149" spans="1:35" ht="14">
      <c r="A149" t="s">
        <v>735</v>
      </c>
      <c r="B149" s="645" t="s">
        <v>27</v>
      </c>
      <c r="C149" s="651">
        <v>28420</v>
      </c>
      <c r="D149" s="652">
        <v>39274</v>
      </c>
      <c r="E149" s="473" t="s">
        <v>501</v>
      </c>
      <c r="F149" s="1029" t="s">
        <v>3</v>
      </c>
      <c r="G149" s="472" t="s">
        <v>398</v>
      </c>
      <c r="H149" s="472" t="s">
        <v>392</v>
      </c>
      <c r="I149" s="474" t="s">
        <v>22</v>
      </c>
      <c r="J149" s="474" t="s">
        <v>29</v>
      </c>
      <c r="K149" s="475" t="s">
        <v>43</v>
      </c>
      <c r="L149" s="861" t="str">
        <f t="shared" si="10"/>
        <v>salarié</v>
      </c>
      <c r="M149" s="485" t="s">
        <v>48</v>
      </c>
      <c r="N149" s="485" t="s">
        <v>0</v>
      </c>
      <c r="O149" s="486">
        <v>0.8</v>
      </c>
      <c r="P149" s="481" t="s">
        <v>58</v>
      </c>
      <c r="Q149" s="482" t="s">
        <v>34</v>
      </c>
      <c r="R149" s="478">
        <v>0</v>
      </c>
      <c r="S149" s="479">
        <v>14</v>
      </c>
      <c r="T149" s="1">
        <v>20320</v>
      </c>
      <c r="U149" s="656">
        <v>12191.418489269836</v>
      </c>
      <c r="V149" s="479">
        <v>250</v>
      </c>
      <c r="W149" s="483">
        <v>0</v>
      </c>
      <c r="X149" s="476">
        <v>0</v>
      </c>
      <c r="Y149" s="476">
        <v>0</v>
      </c>
      <c r="Z149" s="476">
        <v>0</v>
      </c>
      <c r="AA149" s="646" t="s">
        <v>998</v>
      </c>
      <c r="AB149" s="647">
        <f t="shared" si="11"/>
        <v>42</v>
      </c>
      <c r="AC149" s="647">
        <f t="shared" si="12"/>
        <v>13</v>
      </c>
      <c r="AD149" s="648" t="str">
        <f>IF(AB149="","",VLOOKUP(AB149,trancheage[],2,TRUE))</f>
        <v>40 à 49 ans</v>
      </c>
      <c r="AE149" s="648" t="str">
        <f>IFERROR(VLOOKUP(AC149,trancheanciennete[],2,TRUE),"")</f>
        <v>3 : 10-14</v>
      </c>
      <c r="AF149" s="649" t="str">
        <f>IF(T149&gt;0,VLOOKUP(T149,Trancheremuneration[],2,TRUE),"")</f>
        <v>4: 20 000-23 000</v>
      </c>
      <c r="AG149" s="650">
        <f t="shared" si="13"/>
        <v>14879.702187123803</v>
      </c>
      <c r="AH149" s="631" t="str">
        <f t="shared" si="14"/>
        <v>catégorie 1</v>
      </c>
      <c r="AI149" s="631"/>
    </row>
    <row r="150" spans="1:35" ht="14">
      <c r="A150" t="s">
        <v>736</v>
      </c>
      <c r="B150" s="645" t="s">
        <v>27</v>
      </c>
      <c r="C150" s="651">
        <v>30955</v>
      </c>
      <c r="D150" s="652">
        <v>39275</v>
      </c>
      <c r="E150" s="473" t="s">
        <v>504</v>
      </c>
      <c r="F150" s="1029" t="s">
        <v>3</v>
      </c>
      <c r="G150" s="472" t="s">
        <v>399</v>
      </c>
      <c r="H150" s="472" t="s">
        <v>392</v>
      </c>
      <c r="I150" s="474" t="s">
        <v>23</v>
      </c>
      <c r="J150" s="474" t="s">
        <v>18</v>
      </c>
      <c r="K150" s="475" t="s">
        <v>302</v>
      </c>
      <c r="L150" s="861" t="str">
        <f t="shared" si="10"/>
        <v>salarié</v>
      </c>
      <c r="M150" s="485" t="s">
        <v>48</v>
      </c>
      <c r="N150" s="485" t="s">
        <v>1</v>
      </c>
      <c r="O150" s="486">
        <v>0.8</v>
      </c>
      <c r="P150" s="481" t="s">
        <v>59</v>
      </c>
      <c r="Q150" s="482" t="s">
        <v>31</v>
      </c>
      <c r="R150" s="478">
        <v>0</v>
      </c>
      <c r="S150" s="479">
        <v>7</v>
      </c>
      <c r="T150" s="1">
        <v>14320</v>
      </c>
      <c r="U150" s="656">
        <v>21896.184838227273</v>
      </c>
      <c r="V150" s="479">
        <v>250</v>
      </c>
      <c r="W150" s="483">
        <v>1</v>
      </c>
      <c r="X150" s="476">
        <v>1</v>
      </c>
      <c r="Y150" s="476">
        <v>1</v>
      </c>
      <c r="Z150" s="476">
        <v>0</v>
      </c>
      <c r="AA150" s="646" t="s">
        <v>998</v>
      </c>
      <c r="AB150" s="647">
        <f t="shared" si="11"/>
        <v>35</v>
      </c>
      <c r="AC150" s="647">
        <f t="shared" si="12"/>
        <v>13</v>
      </c>
      <c r="AD150" s="648" t="str">
        <f>IF(AB150="","",VLOOKUP(AB150,trancheage[],2,TRUE))</f>
        <v>30 à 39 ans</v>
      </c>
      <c r="AE150" s="648" t="str">
        <f>IFERROR(VLOOKUP(AC150,trancheanciennete[],2,TRUE),"")</f>
        <v>3 : 10-14</v>
      </c>
      <c r="AF150" s="649" t="str">
        <f>IF(T150&gt;0,VLOOKUP(T150,Trancheremuneration[],2,TRUE),"")</f>
        <v>2:14 000-17 000</v>
      </c>
      <c r="AG150" s="650">
        <f t="shared" si="13"/>
        <v>26525.421805872727</v>
      </c>
      <c r="AH150" s="631" t="str">
        <f t="shared" si="14"/>
        <v>catégorie 1</v>
      </c>
      <c r="AI150" s="631"/>
    </row>
    <row r="151" spans="1:35" ht="14">
      <c r="A151" t="s">
        <v>737</v>
      </c>
      <c r="B151" s="645" t="s">
        <v>47</v>
      </c>
      <c r="C151" s="651">
        <v>30324</v>
      </c>
      <c r="D151" s="652">
        <v>39282</v>
      </c>
      <c r="E151" s="473" t="s">
        <v>505</v>
      </c>
      <c r="F151" s="1029" t="s">
        <v>50</v>
      </c>
      <c r="G151" s="472" t="s">
        <v>395</v>
      </c>
      <c r="H151" s="472" t="s">
        <v>392</v>
      </c>
      <c r="I151" s="474" t="s">
        <v>22</v>
      </c>
      <c r="J151" s="474" t="s">
        <v>29</v>
      </c>
      <c r="K151" s="475" t="s">
        <v>35</v>
      </c>
      <c r="L151" s="861" t="str">
        <f t="shared" si="10"/>
        <v>salarié</v>
      </c>
      <c r="M151" s="485" t="s">
        <v>48</v>
      </c>
      <c r="N151" s="485" t="s">
        <v>1</v>
      </c>
      <c r="O151" s="486">
        <v>1</v>
      </c>
      <c r="P151" s="481" t="s">
        <v>59</v>
      </c>
      <c r="Q151" s="482" t="s">
        <v>30</v>
      </c>
      <c r="R151" s="478">
        <v>0</v>
      </c>
      <c r="S151" s="479">
        <v>7</v>
      </c>
      <c r="T151" s="1">
        <v>25000</v>
      </c>
      <c r="U151" s="656">
        <v>44066.416583509075</v>
      </c>
      <c r="V151" s="479">
        <v>250</v>
      </c>
      <c r="W151" s="483">
        <v>0</v>
      </c>
      <c r="X151" s="476">
        <v>0</v>
      </c>
      <c r="Y151" s="476">
        <v>0</v>
      </c>
      <c r="Z151" s="476">
        <v>0</v>
      </c>
      <c r="AA151" s="646" t="s">
        <v>998</v>
      </c>
      <c r="AB151" s="647">
        <f t="shared" si="11"/>
        <v>37</v>
      </c>
      <c r="AC151" s="647">
        <f t="shared" si="12"/>
        <v>13</v>
      </c>
      <c r="AD151" s="648" t="str">
        <f>IF(AB151="","",VLOOKUP(AB151,trancheage[],2,TRUE))</f>
        <v>30 à 39 ans</v>
      </c>
      <c r="AE151" s="648" t="str">
        <f>IFERROR(VLOOKUP(AC151,trancheanciennete[],2,TRUE),"")</f>
        <v>3 : 10-14</v>
      </c>
      <c r="AF151" s="649" t="str">
        <f>IF(T151&gt;0,VLOOKUP(T151,Trancheremuneration[],2,TRUE),"")</f>
        <v>5 : + de 23 000</v>
      </c>
      <c r="AG151" s="650">
        <f t="shared" si="13"/>
        <v>44316.416583509075</v>
      </c>
      <c r="AH151" s="631" t="str">
        <f t="shared" si="14"/>
        <v>catégorie 1</v>
      </c>
      <c r="AI151" s="631"/>
    </row>
    <row r="152" spans="1:35" ht="14">
      <c r="A152" t="s">
        <v>738</v>
      </c>
      <c r="B152" s="645" t="s">
        <v>47</v>
      </c>
      <c r="C152" s="651">
        <v>30395</v>
      </c>
      <c r="D152" s="652">
        <v>39286</v>
      </c>
      <c r="E152" s="473" t="s">
        <v>501</v>
      </c>
      <c r="F152" s="1029" t="s">
        <v>3</v>
      </c>
      <c r="G152" s="472" t="s">
        <v>395</v>
      </c>
      <c r="H152" s="472" t="s">
        <v>393</v>
      </c>
      <c r="I152" s="474" t="s">
        <v>22</v>
      </c>
      <c r="J152" s="474" t="s">
        <v>29</v>
      </c>
      <c r="K152" s="475" t="s">
        <v>43</v>
      </c>
      <c r="L152" s="861" t="str">
        <f t="shared" si="10"/>
        <v>salarié</v>
      </c>
      <c r="M152" s="485" t="s">
        <v>48</v>
      </c>
      <c r="N152" s="485" t="s">
        <v>0</v>
      </c>
      <c r="O152" s="486">
        <v>1</v>
      </c>
      <c r="P152" s="481" t="s">
        <v>58</v>
      </c>
      <c r="Q152" s="482" t="s">
        <v>30</v>
      </c>
      <c r="R152" s="478">
        <v>1</v>
      </c>
      <c r="S152" s="479">
        <v>7</v>
      </c>
      <c r="T152" s="1">
        <v>47920</v>
      </c>
      <c r="U152" s="656">
        <v>35335.765235019375</v>
      </c>
      <c r="V152" s="479">
        <v>100</v>
      </c>
      <c r="W152" s="483">
        <v>0</v>
      </c>
      <c r="X152" s="476">
        <v>0</v>
      </c>
      <c r="Y152" s="476">
        <v>1</v>
      </c>
      <c r="Z152" s="476">
        <v>0</v>
      </c>
      <c r="AA152" s="646" t="s">
        <v>998</v>
      </c>
      <c r="AB152" s="647">
        <f t="shared" si="11"/>
        <v>37</v>
      </c>
      <c r="AC152" s="647">
        <f t="shared" si="12"/>
        <v>13</v>
      </c>
      <c r="AD152" s="648" t="str">
        <f>IF(AB152="","",VLOOKUP(AB152,trancheage[],2,TRUE))</f>
        <v>30 à 39 ans</v>
      </c>
      <c r="AE152" s="648" t="str">
        <f>IFERROR(VLOOKUP(AC152,trancheanciennete[],2,TRUE),"")</f>
        <v>3 : 10-14</v>
      </c>
      <c r="AF152" s="649" t="str">
        <f>IF(T152&gt;0,VLOOKUP(T152,Trancheremuneration[],2,TRUE),"")</f>
        <v>5 : + de 23 000</v>
      </c>
      <c r="AG152" s="650">
        <f t="shared" si="13"/>
        <v>35435.765235019375</v>
      </c>
      <c r="AH152" s="631" t="str">
        <f t="shared" si="14"/>
        <v>catégorie 2</v>
      </c>
      <c r="AI152" s="631"/>
    </row>
    <row r="153" spans="1:35" ht="14">
      <c r="A153" t="s">
        <v>739</v>
      </c>
      <c r="B153" s="645" t="s">
        <v>47</v>
      </c>
      <c r="C153" s="651">
        <v>21950</v>
      </c>
      <c r="D153" s="652">
        <v>39311</v>
      </c>
      <c r="E153" s="473" t="s">
        <v>501</v>
      </c>
      <c r="F153" s="1029" t="s">
        <v>3</v>
      </c>
      <c r="G153" s="472" t="s">
        <v>395</v>
      </c>
      <c r="H153" s="472" t="s">
        <v>392</v>
      </c>
      <c r="I153" s="474" t="s">
        <v>22</v>
      </c>
      <c r="J153" s="474" t="s">
        <v>29</v>
      </c>
      <c r="K153" s="475" t="s">
        <v>43</v>
      </c>
      <c r="L153" s="861" t="str">
        <f t="shared" si="10"/>
        <v>salarié</v>
      </c>
      <c r="M153" s="485" t="s">
        <v>42</v>
      </c>
      <c r="N153" s="485" t="s">
        <v>0</v>
      </c>
      <c r="O153" s="486">
        <v>1</v>
      </c>
      <c r="P153" s="481" t="s">
        <v>59</v>
      </c>
      <c r="Q153" s="482" t="s">
        <v>33</v>
      </c>
      <c r="R153" s="478">
        <v>1</v>
      </c>
      <c r="S153" s="479">
        <v>7</v>
      </c>
      <c r="T153" s="1">
        <v>35080</v>
      </c>
      <c r="U153" s="656">
        <v>35866.948722056019</v>
      </c>
      <c r="V153" s="479">
        <v>250</v>
      </c>
      <c r="W153" s="483">
        <v>1</v>
      </c>
      <c r="X153" s="476">
        <v>0</v>
      </c>
      <c r="Y153" s="476">
        <v>1</v>
      </c>
      <c r="Z153" s="476">
        <v>0</v>
      </c>
      <c r="AA153" s="646" t="s">
        <v>998</v>
      </c>
      <c r="AB153" s="647">
        <f t="shared" si="11"/>
        <v>60</v>
      </c>
      <c r="AC153" s="647">
        <f t="shared" si="12"/>
        <v>13</v>
      </c>
      <c r="AD153" s="648" t="str">
        <f>IF(AB153="","",VLOOKUP(AB153,trancheage[],2,TRUE))</f>
        <v>50 ans et plus</v>
      </c>
      <c r="AE153" s="648" t="str">
        <f>IFERROR(VLOOKUP(AC153,trancheanciennete[],2,TRUE),"")</f>
        <v>3 : 10-14</v>
      </c>
      <c r="AF153" s="649" t="str">
        <f>IF(T153&gt;0,VLOOKUP(T153,Trancheremuneration[],2,TRUE),"")</f>
        <v>5 : + de 23 000</v>
      </c>
      <c r="AG153" s="650">
        <f t="shared" si="13"/>
        <v>36116.948722056019</v>
      </c>
      <c r="AH153" s="631" t="str">
        <f t="shared" si="14"/>
        <v>catégorie 1</v>
      </c>
      <c r="AI153" s="631"/>
    </row>
    <row r="154" spans="1:35" ht="14">
      <c r="A154" t="s">
        <v>740</v>
      </c>
      <c r="B154" s="645" t="s">
        <v>27</v>
      </c>
      <c r="C154" s="651">
        <v>32064</v>
      </c>
      <c r="D154" s="652">
        <v>39320</v>
      </c>
      <c r="E154" s="473" t="s">
        <v>501</v>
      </c>
      <c r="F154" s="1029" t="s">
        <v>3</v>
      </c>
      <c r="G154" s="472" t="s">
        <v>396</v>
      </c>
      <c r="H154" s="472" t="s">
        <v>392</v>
      </c>
      <c r="I154" s="474" t="s">
        <v>23</v>
      </c>
      <c r="J154" s="474" t="s">
        <v>18</v>
      </c>
      <c r="K154" s="475" t="s">
        <v>36</v>
      </c>
      <c r="L154" s="861" t="str">
        <f t="shared" si="10"/>
        <v>salarié</v>
      </c>
      <c r="M154" s="485" t="s">
        <v>48</v>
      </c>
      <c r="N154" s="485" t="s">
        <v>0</v>
      </c>
      <c r="O154" s="486">
        <v>1</v>
      </c>
      <c r="P154" s="481" t="s">
        <v>58</v>
      </c>
      <c r="Q154" s="482" t="s">
        <v>34</v>
      </c>
      <c r="R154" s="478">
        <v>1</v>
      </c>
      <c r="S154" s="479">
        <v>28</v>
      </c>
      <c r="T154" s="1">
        <v>32920</v>
      </c>
      <c r="U154" s="656">
        <v>18078.426723453955</v>
      </c>
      <c r="V154" s="479">
        <v>250</v>
      </c>
      <c r="W154" s="483">
        <v>1</v>
      </c>
      <c r="X154" s="476">
        <v>0</v>
      </c>
      <c r="Y154" s="476">
        <v>1</v>
      </c>
      <c r="Z154" s="476">
        <v>0</v>
      </c>
      <c r="AA154" s="646" t="s">
        <v>998</v>
      </c>
      <c r="AB154" s="647">
        <f t="shared" si="11"/>
        <v>32</v>
      </c>
      <c r="AC154" s="647">
        <f t="shared" si="12"/>
        <v>13</v>
      </c>
      <c r="AD154" s="648" t="str">
        <f>IF(AB154="","",VLOOKUP(AB154,trancheage[],2,TRUE))</f>
        <v>30 à 39 ans</v>
      </c>
      <c r="AE154" s="648" t="str">
        <f>IFERROR(VLOOKUP(AC154,trancheanciennete[],2,TRUE),"")</f>
        <v>3 : 10-14</v>
      </c>
      <c r="AF154" s="649" t="str">
        <f>IF(T154&gt;0,VLOOKUP(T154,Trancheremuneration[],2,TRUE),"")</f>
        <v>5 : + de 23 000</v>
      </c>
      <c r="AG154" s="650">
        <f t="shared" si="13"/>
        <v>18328.426723453955</v>
      </c>
      <c r="AH154" s="631" t="str">
        <f t="shared" si="14"/>
        <v>catégorie 1</v>
      </c>
      <c r="AI154" s="631"/>
    </row>
    <row r="155" spans="1:35" ht="14">
      <c r="A155" t="s">
        <v>741</v>
      </c>
      <c r="B155" s="645" t="s">
        <v>27</v>
      </c>
      <c r="C155" s="651">
        <v>26861</v>
      </c>
      <c r="D155" s="652">
        <v>39381</v>
      </c>
      <c r="E155" s="473" t="s">
        <v>502</v>
      </c>
      <c r="F155" s="1029" t="s">
        <v>50</v>
      </c>
      <c r="G155" s="472" t="s">
        <v>397</v>
      </c>
      <c r="H155" s="472" t="s">
        <v>392</v>
      </c>
      <c r="I155" s="474" t="s">
        <v>22</v>
      </c>
      <c r="J155" s="474" t="s">
        <v>29</v>
      </c>
      <c r="K155" s="475" t="s">
        <v>43</v>
      </c>
      <c r="L155" s="861" t="str">
        <f t="shared" si="10"/>
        <v>salarié</v>
      </c>
      <c r="M155" s="485" t="s">
        <v>40</v>
      </c>
      <c r="N155" s="485" t="s">
        <v>0</v>
      </c>
      <c r="O155" s="486">
        <v>1</v>
      </c>
      <c r="P155" s="481" t="s">
        <v>58</v>
      </c>
      <c r="Q155" s="482" t="s">
        <v>33</v>
      </c>
      <c r="R155" s="478">
        <v>1</v>
      </c>
      <c r="S155" s="479">
        <v>14</v>
      </c>
      <c r="T155" s="1">
        <v>14320</v>
      </c>
      <c r="U155" s="656">
        <v>46671.203665014938</v>
      </c>
      <c r="V155" s="479">
        <v>250</v>
      </c>
      <c r="W155" s="483">
        <v>1</v>
      </c>
      <c r="X155" s="476">
        <v>0</v>
      </c>
      <c r="Y155" s="476">
        <v>0</v>
      </c>
      <c r="Z155" s="476">
        <v>0</v>
      </c>
      <c r="AA155" s="646" t="s">
        <v>998</v>
      </c>
      <c r="AB155" s="647">
        <f t="shared" si="11"/>
        <v>47</v>
      </c>
      <c r="AC155" s="647">
        <f t="shared" si="12"/>
        <v>12</v>
      </c>
      <c r="AD155" s="648" t="str">
        <f>IF(AB155="","",VLOOKUP(AB155,trancheage[],2,TRUE))</f>
        <v>40 à 49 ans</v>
      </c>
      <c r="AE155" s="648" t="str">
        <f>IFERROR(VLOOKUP(AC155,trancheanciennete[],2,TRUE),"")</f>
        <v>3 : 10-14</v>
      </c>
      <c r="AF155" s="649" t="str">
        <f>IF(T155&gt;0,VLOOKUP(T155,Trancheremuneration[],2,TRUE),"")</f>
        <v>2:14 000-17 000</v>
      </c>
      <c r="AG155" s="650">
        <f t="shared" si="13"/>
        <v>46921.203665014938</v>
      </c>
      <c r="AH155" s="631" t="str">
        <f t="shared" si="14"/>
        <v>catégorie 1</v>
      </c>
      <c r="AI155" s="631"/>
    </row>
    <row r="156" spans="1:35" ht="14">
      <c r="A156" t="s">
        <v>742</v>
      </c>
      <c r="B156" s="645" t="s">
        <v>27</v>
      </c>
      <c r="C156" s="651">
        <v>30318</v>
      </c>
      <c r="D156" s="652">
        <v>39385</v>
      </c>
      <c r="E156" s="473" t="s">
        <v>505</v>
      </c>
      <c r="F156" s="1029" t="s">
        <v>49</v>
      </c>
      <c r="G156" s="472" t="s">
        <v>398</v>
      </c>
      <c r="H156" s="472" t="s">
        <v>392</v>
      </c>
      <c r="I156" s="474" t="s">
        <v>22</v>
      </c>
      <c r="J156" s="474" t="s">
        <v>28</v>
      </c>
      <c r="K156" s="475" t="s">
        <v>43</v>
      </c>
      <c r="L156" s="861" t="str">
        <f t="shared" si="10"/>
        <v>salarié</v>
      </c>
      <c r="M156" s="483" t="s">
        <v>48</v>
      </c>
      <c r="N156" s="483" t="s">
        <v>0</v>
      </c>
      <c r="O156" s="486">
        <v>1</v>
      </c>
      <c r="P156" s="481" t="s">
        <v>58</v>
      </c>
      <c r="Q156" s="482" t="s">
        <v>31</v>
      </c>
      <c r="R156" s="478">
        <v>0</v>
      </c>
      <c r="S156" s="479">
        <v>7</v>
      </c>
      <c r="T156" s="1">
        <v>46600</v>
      </c>
      <c r="U156" s="656">
        <v>61257.913039472201</v>
      </c>
      <c r="V156" s="479">
        <v>500</v>
      </c>
      <c r="W156" s="483">
        <v>0</v>
      </c>
      <c r="X156" s="476">
        <v>1</v>
      </c>
      <c r="Y156" s="476">
        <v>0</v>
      </c>
      <c r="Z156" s="476">
        <v>0</v>
      </c>
      <c r="AA156" s="646" t="s">
        <v>998</v>
      </c>
      <c r="AB156" s="647">
        <f t="shared" si="11"/>
        <v>37</v>
      </c>
      <c r="AC156" s="647">
        <f t="shared" si="12"/>
        <v>12</v>
      </c>
      <c r="AD156" s="648" t="str">
        <f>IF(AB156="","",VLOOKUP(AB156,trancheage[],2,TRUE))</f>
        <v>30 à 39 ans</v>
      </c>
      <c r="AE156" s="648" t="str">
        <f>IFERROR(VLOOKUP(AC156,trancheanciennete[],2,TRUE),"")</f>
        <v>3 : 10-14</v>
      </c>
      <c r="AF156" s="649" t="str">
        <f>IF(T156&gt;0,VLOOKUP(T156,Trancheremuneration[],2,TRUE),"")</f>
        <v>5 : + de 23 000</v>
      </c>
      <c r="AG156" s="650">
        <f t="shared" si="13"/>
        <v>61757.913039472201</v>
      </c>
      <c r="AH156" s="631" t="str">
        <f t="shared" si="14"/>
        <v>catégorie 1</v>
      </c>
      <c r="AI156" s="631"/>
    </row>
    <row r="157" spans="1:35" ht="14">
      <c r="A157" t="s">
        <v>589</v>
      </c>
      <c r="B157" s="645" t="s">
        <v>27</v>
      </c>
      <c r="C157" s="651">
        <v>33500</v>
      </c>
      <c r="D157" s="652">
        <v>39408</v>
      </c>
      <c r="E157" s="473" t="s">
        <v>501</v>
      </c>
      <c r="F157" s="1029" t="s">
        <v>50</v>
      </c>
      <c r="G157" s="472" t="s">
        <v>399</v>
      </c>
      <c r="H157" s="472" t="s">
        <v>393</v>
      </c>
      <c r="I157" s="474" t="s">
        <v>22</v>
      </c>
      <c r="J157" s="474" t="s">
        <v>28</v>
      </c>
      <c r="K157" s="475" t="s">
        <v>43</v>
      </c>
      <c r="L157" s="861" t="str">
        <f t="shared" si="10"/>
        <v>salarié</v>
      </c>
      <c r="M157" s="483" t="s">
        <v>48</v>
      </c>
      <c r="N157" s="483" t="s">
        <v>0</v>
      </c>
      <c r="O157" s="486">
        <v>1</v>
      </c>
      <c r="P157" s="481" t="s">
        <v>58</v>
      </c>
      <c r="Q157" s="482" t="s">
        <v>31</v>
      </c>
      <c r="R157" s="478">
        <v>1</v>
      </c>
      <c r="S157" s="479">
        <v>0</v>
      </c>
      <c r="T157" s="1">
        <v>53800</v>
      </c>
      <c r="U157" s="656">
        <v>14966.646053739798</v>
      </c>
      <c r="V157" s="479">
        <v>250</v>
      </c>
      <c r="W157" s="483">
        <v>1</v>
      </c>
      <c r="X157" s="476">
        <v>1</v>
      </c>
      <c r="Y157" s="476">
        <v>0</v>
      </c>
      <c r="Z157" s="476">
        <v>0</v>
      </c>
      <c r="AA157" s="646" t="s">
        <v>998</v>
      </c>
      <c r="AB157" s="647">
        <f t="shared" si="11"/>
        <v>28</v>
      </c>
      <c r="AC157" s="647">
        <f t="shared" si="12"/>
        <v>12</v>
      </c>
      <c r="AD157" s="648" t="str">
        <f>IF(AB157="","",VLOOKUP(AB157,trancheage[],2,TRUE))</f>
        <v>Moins de 30 ans</v>
      </c>
      <c r="AE157" s="648" t="str">
        <f>IFERROR(VLOOKUP(AC157,trancheanciennete[],2,TRUE),"")</f>
        <v>3 : 10-14</v>
      </c>
      <c r="AF157" s="649" t="str">
        <f>IF(T157&gt;0,VLOOKUP(T157,Trancheremuneration[],2,TRUE),"")</f>
        <v>5 : + de 23 000</v>
      </c>
      <c r="AG157" s="650">
        <f t="shared" si="13"/>
        <v>15216.646053739798</v>
      </c>
      <c r="AH157" s="631" t="str">
        <f t="shared" si="14"/>
        <v>catégorie 2</v>
      </c>
      <c r="AI157" s="631"/>
    </row>
    <row r="158" spans="1:35" ht="14">
      <c r="A158" t="s">
        <v>743</v>
      </c>
      <c r="B158" s="645" t="s">
        <v>47</v>
      </c>
      <c r="C158" s="651">
        <v>28864</v>
      </c>
      <c r="D158" s="652">
        <v>39410</v>
      </c>
      <c r="E158" s="473" t="s">
        <v>501</v>
      </c>
      <c r="F158" s="1029" t="s">
        <v>50</v>
      </c>
      <c r="G158" s="472" t="s">
        <v>395</v>
      </c>
      <c r="H158" s="472" t="s">
        <v>394</v>
      </c>
      <c r="I158" s="474" t="s">
        <v>23</v>
      </c>
      <c r="J158" s="474" t="s">
        <v>18</v>
      </c>
      <c r="K158" s="475" t="s">
        <v>305</v>
      </c>
      <c r="L158" s="861" t="str">
        <f t="shared" si="10"/>
        <v>salarié</v>
      </c>
      <c r="M158" s="485" t="s">
        <v>48</v>
      </c>
      <c r="N158" s="485" t="s">
        <v>0</v>
      </c>
      <c r="O158" s="486">
        <v>1</v>
      </c>
      <c r="P158" s="481" t="s">
        <v>58</v>
      </c>
      <c r="Q158" s="482" t="s">
        <v>39</v>
      </c>
      <c r="R158" s="478">
        <v>1</v>
      </c>
      <c r="S158" s="479">
        <v>0</v>
      </c>
      <c r="T158" s="1">
        <v>12400</v>
      </c>
      <c r="U158" s="656">
        <v>60375.927003436787</v>
      </c>
      <c r="V158" s="479">
        <v>250</v>
      </c>
      <c r="W158" s="483">
        <v>1</v>
      </c>
      <c r="X158" s="476">
        <v>0</v>
      </c>
      <c r="Y158" s="476">
        <v>0</v>
      </c>
      <c r="Z158" s="476">
        <v>0</v>
      </c>
      <c r="AA158" s="646" t="s">
        <v>998</v>
      </c>
      <c r="AB158" s="647">
        <f t="shared" si="11"/>
        <v>41</v>
      </c>
      <c r="AC158" s="647">
        <f t="shared" si="12"/>
        <v>12</v>
      </c>
      <c r="AD158" s="648" t="str">
        <f>IF(AB158="","",VLOOKUP(AB158,trancheage[],2,TRUE))</f>
        <v>40 à 49 ans</v>
      </c>
      <c r="AE158" s="648" t="str">
        <f>IFERROR(VLOOKUP(AC158,trancheanciennete[],2,TRUE),"")</f>
        <v>3 : 10-14</v>
      </c>
      <c r="AF158" s="649" t="str">
        <f>IF(T158&gt;0,VLOOKUP(T158,Trancheremuneration[],2,TRUE),"")</f>
        <v>1:7 000-14 000</v>
      </c>
      <c r="AG158" s="650">
        <f t="shared" si="13"/>
        <v>60625.927003436787</v>
      </c>
      <c r="AH158" s="631" t="str">
        <f t="shared" si="14"/>
        <v>catégorie 3</v>
      </c>
      <c r="AI158" s="631"/>
    </row>
    <row r="159" spans="1:35" ht="14">
      <c r="A159" t="s">
        <v>744</v>
      </c>
      <c r="B159" s="645" t="s">
        <v>27</v>
      </c>
      <c r="C159" s="651">
        <v>27674</v>
      </c>
      <c r="D159" s="652">
        <v>39420</v>
      </c>
      <c r="E159" s="473" t="s">
        <v>501</v>
      </c>
      <c r="F159" s="1029" t="s">
        <v>3</v>
      </c>
      <c r="G159" s="472" t="s">
        <v>395</v>
      </c>
      <c r="H159" s="472" t="s">
        <v>393</v>
      </c>
      <c r="I159" s="474" t="s">
        <v>23</v>
      </c>
      <c r="J159" s="474" t="s">
        <v>18</v>
      </c>
      <c r="K159" s="475" t="s">
        <v>303</v>
      </c>
      <c r="L159" s="861" t="str">
        <f t="shared" si="10"/>
        <v>salarié</v>
      </c>
      <c r="M159" s="485" t="s">
        <v>42</v>
      </c>
      <c r="N159" s="485" t="s">
        <v>0</v>
      </c>
      <c r="O159" s="486">
        <v>0.8</v>
      </c>
      <c r="P159" s="481" t="s">
        <v>59</v>
      </c>
      <c r="Q159" s="482" t="s">
        <v>30</v>
      </c>
      <c r="R159" s="478">
        <v>0</v>
      </c>
      <c r="S159" s="479">
        <v>0</v>
      </c>
      <c r="T159" s="1">
        <v>63400</v>
      </c>
      <c r="U159" s="656">
        <v>31074.922590084563</v>
      </c>
      <c r="V159" s="479">
        <v>250</v>
      </c>
      <c r="W159" s="483">
        <v>0</v>
      </c>
      <c r="X159" s="476">
        <v>0</v>
      </c>
      <c r="Y159" s="476">
        <v>0</v>
      </c>
      <c r="Z159" s="476">
        <v>0</v>
      </c>
      <c r="AA159" s="646" t="s">
        <v>998</v>
      </c>
      <c r="AB159" s="647">
        <f t="shared" si="11"/>
        <v>44</v>
      </c>
      <c r="AC159" s="647">
        <f t="shared" si="12"/>
        <v>12</v>
      </c>
      <c r="AD159" s="648" t="str">
        <f>IF(AB159="","",VLOOKUP(AB159,trancheage[],2,TRUE))</f>
        <v>40 à 49 ans</v>
      </c>
      <c r="AE159" s="648" t="str">
        <f>IFERROR(VLOOKUP(AC159,trancheanciennete[],2,TRUE),"")</f>
        <v>3 : 10-14</v>
      </c>
      <c r="AF159" s="649" t="str">
        <f>IF(T159&gt;0,VLOOKUP(T159,Trancheremuneration[],2,TRUE),"")</f>
        <v>5 : + de 23 000</v>
      </c>
      <c r="AG159" s="650">
        <f t="shared" si="13"/>
        <v>37539.907108101477</v>
      </c>
      <c r="AH159" s="631" t="str">
        <f t="shared" si="14"/>
        <v>catégorie 2</v>
      </c>
      <c r="AI159" s="631"/>
    </row>
    <row r="160" spans="1:35" ht="14">
      <c r="A160" t="s">
        <v>576</v>
      </c>
      <c r="B160" s="645" t="s">
        <v>27</v>
      </c>
      <c r="C160" s="651">
        <v>31354</v>
      </c>
      <c r="D160" s="652">
        <v>39424</v>
      </c>
      <c r="E160" s="473" t="s">
        <v>501</v>
      </c>
      <c r="F160" s="1029" t="s">
        <v>3</v>
      </c>
      <c r="G160" s="472" t="s">
        <v>396</v>
      </c>
      <c r="H160" s="472" t="s">
        <v>394</v>
      </c>
      <c r="I160" s="474" t="s">
        <v>22</v>
      </c>
      <c r="J160" s="474" t="s">
        <v>28</v>
      </c>
      <c r="K160" s="475" t="s">
        <v>43</v>
      </c>
      <c r="L160" s="861" t="str">
        <f t="shared" si="10"/>
        <v>salarié</v>
      </c>
      <c r="M160" s="485" t="s">
        <v>48</v>
      </c>
      <c r="N160" s="485" t="s">
        <v>1</v>
      </c>
      <c r="O160" s="486">
        <v>0.8</v>
      </c>
      <c r="P160" s="481" t="s">
        <v>59</v>
      </c>
      <c r="Q160" s="482" t="s">
        <v>30</v>
      </c>
      <c r="R160" s="478">
        <v>0</v>
      </c>
      <c r="S160" s="479">
        <v>0</v>
      </c>
      <c r="T160" s="1">
        <v>37240</v>
      </c>
      <c r="U160" s="656">
        <v>30421.485326617185</v>
      </c>
      <c r="V160" s="479">
        <v>500</v>
      </c>
      <c r="W160" s="483">
        <v>0</v>
      </c>
      <c r="X160" s="476">
        <v>1</v>
      </c>
      <c r="Y160" s="476">
        <v>0</v>
      </c>
      <c r="Z160" s="476">
        <v>0</v>
      </c>
      <c r="AA160" s="646" t="s">
        <v>998</v>
      </c>
      <c r="AB160" s="647">
        <f t="shared" si="11"/>
        <v>34</v>
      </c>
      <c r="AC160" s="647">
        <f t="shared" si="12"/>
        <v>12</v>
      </c>
      <c r="AD160" s="648" t="str">
        <f>IF(AB160="","",VLOOKUP(AB160,trancheage[],2,TRUE))</f>
        <v>30 à 39 ans</v>
      </c>
      <c r="AE160" s="648" t="str">
        <f>IFERROR(VLOOKUP(AC160,trancheanciennete[],2,TRUE),"")</f>
        <v>3 : 10-14</v>
      </c>
      <c r="AF160" s="649" t="str">
        <f>IF(T160&gt;0,VLOOKUP(T160,Trancheremuneration[],2,TRUE),"")</f>
        <v>5 : + de 23 000</v>
      </c>
      <c r="AG160" s="650">
        <f t="shared" si="13"/>
        <v>37005.782391940622</v>
      </c>
      <c r="AH160" s="631" t="str">
        <f t="shared" si="14"/>
        <v>catégorie 3</v>
      </c>
      <c r="AI160" s="631"/>
    </row>
    <row r="161" spans="1:35" ht="14">
      <c r="A161" t="s">
        <v>745</v>
      </c>
      <c r="B161" s="645" t="s">
        <v>47</v>
      </c>
      <c r="C161" s="651">
        <v>24547</v>
      </c>
      <c r="D161" s="652">
        <v>39507</v>
      </c>
      <c r="E161" s="473" t="s">
        <v>505</v>
      </c>
      <c r="F161" s="1029" t="s">
        <v>3</v>
      </c>
      <c r="G161" s="472" t="s">
        <v>395</v>
      </c>
      <c r="H161" s="472" t="s">
        <v>392</v>
      </c>
      <c r="I161" s="474" t="s">
        <v>22</v>
      </c>
      <c r="J161" s="474" t="s">
        <v>28</v>
      </c>
      <c r="K161" s="475" t="s">
        <v>43</v>
      </c>
      <c r="L161" s="861" t="str">
        <f t="shared" si="10"/>
        <v>salarié</v>
      </c>
      <c r="M161" s="485" t="s">
        <v>42</v>
      </c>
      <c r="N161" s="485" t="s">
        <v>1</v>
      </c>
      <c r="O161" s="486">
        <v>1</v>
      </c>
      <c r="P161" s="481" t="s">
        <v>59</v>
      </c>
      <c r="Q161" s="482" t="s">
        <v>33</v>
      </c>
      <c r="R161" s="478">
        <v>1</v>
      </c>
      <c r="S161" s="479">
        <v>14</v>
      </c>
      <c r="T161" s="1">
        <v>31840</v>
      </c>
      <c r="U161" s="656">
        <v>12623.752744412501</v>
      </c>
      <c r="V161" s="479">
        <v>250</v>
      </c>
      <c r="W161" s="483">
        <v>1</v>
      </c>
      <c r="X161" s="476">
        <v>0</v>
      </c>
      <c r="Y161" s="476">
        <v>1</v>
      </c>
      <c r="Z161" s="476">
        <v>0</v>
      </c>
      <c r="AA161" s="646" t="s">
        <v>998</v>
      </c>
      <c r="AB161" s="647">
        <f t="shared" si="11"/>
        <v>53</v>
      </c>
      <c r="AC161" s="647">
        <f t="shared" si="12"/>
        <v>12</v>
      </c>
      <c r="AD161" s="648" t="str">
        <f>IF(AB161="","",VLOOKUP(AB161,trancheage[],2,TRUE))</f>
        <v>50 ans et plus</v>
      </c>
      <c r="AE161" s="648" t="str">
        <f>IFERROR(VLOOKUP(AC161,trancheanciennete[],2,TRUE),"")</f>
        <v>3 : 10-14</v>
      </c>
      <c r="AF161" s="649" t="str">
        <f>IF(T161&gt;0,VLOOKUP(T161,Trancheremuneration[],2,TRUE),"")</f>
        <v>5 : + de 23 000</v>
      </c>
      <c r="AG161" s="650">
        <f t="shared" si="13"/>
        <v>12873.752744412501</v>
      </c>
      <c r="AH161" s="631" t="str">
        <f t="shared" si="14"/>
        <v>catégorie 1</v>
      </c>
      <c r="AI161" s="631"/>
    </row>
    <row r="162" spans="1:35" ht="14">
      <c r="A162" t="s">
        <v>746</v>
      </c>
      <c r="B162" s="645" t="s">
        <v>27</v>
      </c>
      <c r="C162" s="651">
        <v>32825</v>
      </c>
      <c r="D162" s="652">
        <v>39542</v>
      </c>
      <c r="E162" s="473" t="s">
        <v>503</v>
      </c>
      <c r="F162" s="1029" t="s">
        <v>50</v>
      </c>
      <c r="G162" s="472" t="s">
        <v>397</v>
      </c>
      <c r="H162" s="472" t="s">
        <v>392</v>
      </c>
      <c r="I162" s="474" t="s">
        <v>22</v>
      </c>
      <c r="J162" s="474" t="s">
        <v>28</v>
      </c>
      <c r="K162" s="475" t="s">
        <v>43</v>
      </c>
      <c r="L162" s="861" t="str">
        <f t="shared" si="10"/>
        <v>salarié</v>
      </c>
      <c r="M162" s="485" t="s">
        <v>48</v>
      </c>
      <c r="N162" s="485" t="s">
        <v>1</v>
      </c>
      <c r="O162" s="486">
        <v>1</v>
      </c>
      <c r="P162" s="481" t="s">
        <v>59</v>
      </c>
      <c r="Q162" s="482" t="s">
        <v>33</v>
      </c>
      <c r="R162" s="478">
        <v>1</v>
      </c>
      <c r="S162" s="479">
        <v>14</v>
      </c>
      <c r="T162" s="1">
        <v>10720</v>
      </c>
      <c r="U162" s="656">
        <v>31945.148853956838</v>
      </c>
      <c r="V162" s="479">
        <v>250</v>
      </c>
      <c r="W162" s="483">
        <v>1</v>
      </c>
      <c r="X162" s="476">
        <v>0</v>
      </c>
      <c r="Y162" s="476">
        <v>0</v>
      </c>
      <c r="Z162" s="476">
        <v>0</v>
      </c>
      <c r="AA162" s="646" t="s">
        <v>998</v>
      </c>
      <c r="AB162" s="647">
        <f t="shared" si="11"/>
        <v>30</v>
      </c>
      <c r="AC162" s="647">
        <f t="shared" si="12"/>
        <v>12</v>
      </c>
      <c r="AD162" s="648" t="str">
        <f>IF(AB162="","",VLOOKUP(AB162,trancheage[],2,TRUE))</f>
        <v>30 à 39 ans</v>
      </c>
      <c r="AE162" s="648" t="str">
        <f>IFERROR(VLOOKUP(AC162,trancheanciennete[],2,TRUE),"")</f>
        <v>3 : 10-14</v>
      </c>
      <c r="AF162" s="649" t="str">
        <f>IF(T162&gt;0,VLOOKUP(T162,Trancheremuneration[],2,TRUE),"")</f>
        <v>1:7 000-14 000</v>
      </c>
      <c r="AG162" s="650">
        <f t="shared" si="13"/>
        <v>32195.148853956838</v>
      </c>
      <c r="AH162" s="631" t="str">
        <f t="shared" si="14"/>
        <v>catégorie 1</v>
      </c>
      <c r="AI162" s="631"/>
    </row>
    <row r="163" spans="1:35" ht="14">
      <c r="A163" t="s">
        <v>747</v>
      </c>
      <c r="B163" s="645" t="s">
        <v>47</v>
      </c>
      <c r="C163" s="651">
        <v>24078</v>
      </c>
      <c r="D163" s="652">
        <v>39566</v>
      </c>
      <c r="E163" s="473" t="s">
        <v>501</v>
      </c>
      <c r="F163" s="1029" t="s">
        <v>3</v>
      </c>
      <c r="G163" s="472" t="s">
        <v>398</v>
      </c>
      <c r="H163" s="472" t="s">
        <v>394</v>
      </c>
      <c r="I163" s="474" t="s">
        <v>22</v>
      </c>
      <c r="J163" s="474" t="s">
        <v>28</v>
      </c>
      <c r="K163" s="475" t="s">
        <v>56</v>
      </c>
      <c r="L163" s="861" t="str">
        <f t="shared" si="10"/>
        <v>salarié</v>
      </c>
      <c r="M163" s="485" t="s">
        <v>48</v>
      </c>
      <c r="N163" s="485" t="s">
        <v>1</v>
      </c>
      <c r="O163" s="486">
        <v>0.5</v>
      </c>
      <c r="P163" s="481" t="s">
        <v>59</v>
      </c>
      <c r="Q163" s="482" t="s">
        <v>31</v>
      </c>
      <c r="R163" s="478">
        <v>0</v>
      </c>
      <c r="S163" s="479">
        <v>0</v>
      </c>
      <c r="T163" s="1">
        <v>26800</v>
      </c>
      <c r="U163" s="656">
        <v>16119.789856479762</v>
      </c>
      <c r="V163" s="479">
        <v>250</v>
      </c>
      <c r="W163" s="483">
        <v>0</v>
      </c>
      <c r="X163" s="476">
        <v>1</v>
      </c>
      <c r="Y163" s="476">
        <v>0</v>
      </c>
      <c r="Z163" s="476">
        <v>0</v>
      </c>
      <c r="AA163" s="646" t="s">
        <v>998</v>
      </c>
      <c r="AB163" s="647">
        <f t="shared" si="11"/>
        <v>54</v>
      </c>
      <c r="AC163" s="647">
        <f t="shared" si="12"/>
        <v>12</v>
      </c>
      <c r="AD163" s="648" t="str">
        <f>IF(AB163="","",VLOOKUP(AB163,trancheage[],2,TRUE))</f>
        <v>50 ans et plus</v>
      </c>
      <c r="AE163" s="648" t="str">
        <f>IFERROR(VLOOKUP(AC163,trancheanciennete[],2,TRUE),"")</f>
        <v>3 : 10-14</v>
      </c>
      <c r="AF163" s="649" t="str">
        <f>IF(T163&gt;0,VLOOKUP(T163,Trancheremuneration[],2,TRUE),"")</f>
        <v>5 : + de 23 000</v>
      </c>
      <c r="AG163" s="650">
        <f t="shared" si="13"/>
        <v>24429.68478471964</v>
      </c>
      <c r="AH163" s="631" t="str">
        <f t="shared" si="14"/>
        <v>catégorie 3</v>
      </c>
      <c r="AI163" s="631"/>
    </row>
    <row r="164" spans="1:35" ht="14">
      <c r="A164" t="s">
        <v>748</v>
      </c>
      <c r="B164" s="645" t="s">
        <v>27</v>
      </c>
      <c r="C164" s="651">
        <v>26445</v>
      </c>
      <c r="D164" s="652">
        <v>39582</v>
      </c>
      <c r="E164" s="473" t="s">
        <v>501</v>
      </c>
      <c r="F164" s="1029" t="s">
        <v>3</v>
      </c>
      <c r="G164" s="472" t="s">
        <v>399</v>
      </c>
      <c r="H164" s="472" t="s">
        <v>394</v>
      </c>
      <c r="I164" s="474" t="s">
        <v>22</v>
      </c>
      <c r="J164" s="474" t="s">
        <v>28</v>
      </c>
      <c r="K164" s="475" t="s">
        <v>35</v>
      </c>
      <c r="L164" s="861" t="str">
        <f t="shared" si="10"/>
        <v>salarié</v>
      </c>
      <c r="M164" s="485" t="s">
        <v>48</v>
      </c>
      <c r="N164" s="485" t="s">
        <v>1</v>
      </c>
      <c r="O164" s="486">
        <v>0.8</v>
      </c>
      <c r="P164" s="481" t="s">
        <v>59</v>
      </c>
      <c r="Q164" s="482" t="s">
        <v>31</v>
      </c>
      <c r="R164" s="478">
        <v>0</v>
      </c>
      <c r="S164" s="479">
        <v>0</v>
      </c>
      <c r="T164" s="1">
        <v>16000</v>
      </c>
      <c r="U164" s="656">
        <v>46799.381113835698</v>
      </c>
      <c r="V164" s="479">
        <v>250</v>
      </c>
      <c r="W164" s="483">
        <v>0</v>
      </c>
      <c r="X164" s="476">
        <v>1</v>
      </c>
      <c r="Y164" s="476">
        <v>0</v>
      </c>
      <c r="Z164" s="476">
        <v>0</v>
      </c>
      <c r="AA164" s="646" t="s">
        <v>998</v>
      </c>
      <c r="AB164" s="647">
        <f t="shared" si="11"/>
        <v>48</v>
      </c>
      <c r="AC164" s="647">
        <f t="shared" si="12"/>
        <v>12</v>
      </c>
      <c r="AD164" s="648" t="str">
        <f>IF(AB164="","",VLOOKUP(AB164,trancheage[],2,TRUE))</f>
        <v>40 à 49 ans</v>
      </c>
      <c r="AE164" s="648" t="str">
        <f>IFERROR(VLOOKUP(AC164,trancheanciennete[],2,TRUE),"")</f>
        <v>3 : 10-14</v>
      </c>
      <c r="AF164" s="649" t="str">
        <f>IF(T164&gt;0,VLOOKUP(T164,Trancheremuneration[],2,TRUE),"")</f>
        <v>2:14 000-17 000</v>
      </c>
      <c r="AG164" s="650">
        <f t="shared" si="13"/>
        <v>56409.257336602837</v>
      </c>
      <c r="AH164" s="631" t="str">
        <f t="shared" si="14"/>
        <v>catégorie 3</v>
      </c>
      <c r="AI164" s="631"/>
    </row>
    <row r="165" spans="1:35" ht="14">
      <c r="A165" t="s">
        <v>749</v>
      </c>
      <c r="B165" s="645" t="s">
        <v>27</v>
      </c>
      <c r="C165" s="651">
        <v>33842</v>
      </c>
      <c r="D165" s="652">
        <v>39606</v>
      </c>
      <c r="E165" s="473" t="s">
        <v>504</v>
      </c>
      <c r="F165" s="1029" t="s">
        <v>3</v>
      </c>
      <c r="G165" s="472" t="s">
        <v>395</v>
      </c>
      <c r="H165" s="472" t="s">
        <v>393</v>
      </c>
      <c r="I165" s="474" t="s">
        <v>22</v>
      </c>
      <c r="J165" s="474" t="s">
        <v>28</v>
      </c>
      <c r="K165" s="475" t="s">
        <v>43</v>
      </c>
      <c r="L165" s="861" t="str">
        <f t="shared" si="10"/>
        <v>salarié</v>
      </c>
      <c r="M165" s="485" t="s">
        <v>48</v>
      </c>
      <c r="N165" s="485" t="s">
        <v>1</v>
      </c>
      <c r="O165" s="486">
        <v>0.8</v>
      </c>
      <c r="P165" s="481" t="s">
        <v>59</v>
      </c>
      <c r="Q165" s="482" t="s">
        <v>33</v>
      </c>
      <c r="R165" s="478">
        <v>1</v>
      </c>
      <c r="S165" s="479">
        <v>21</v>
      </c>
      <c r="T165" s="1">
        <v>47200</v>
      </c>
      <c r="U165" s="656">
        <v>46969.329868438814</v>
      </c>
      <c r="V165" s="479">
        <v>250</v>
      </c>
      <c r="W165" s="483">
        <v>1</v>
      </c>
      <c r="X165" s="476">
        <v>0</v>
      </c>
      <c r="Y165" s="476">
        <v>0</v>
      </c>
      <c r="Z165" s="476">
        <v>0</v>
      </c>
      <c r="AA165" s="646" t="s">
        <v>998</v>
      </c>
      <c r="AB165" s="647">
        <f t="shared" si="11"/>
        <v>28</v>
      </c>
      <c r="AC165" s="647">
        <f t="shared" si="12"/>
        <v>12</v>
      </c>
      <c r="AD165" s="648" t="str">
        <f>IF(AB165="","",VLOOKUP(AB165,trancheage[],2,TRUE))</f>
        <v>Moins de 30 ans</v>
      </c>
      <c r="AE165" s="648" t="str">
        <f>IFERROR(VLOOKUP(AC165,trancheanciennete[],2,TRUE),"")</f>
        <v>3 : 10-14</v>
      </c>
      <c r="AF165" s="649" t="str">
        <f>IF(T165&gt;0,VLOOKUP(T165,Trancheremuneration[],2,TRUE),"")</f>
        <v>5 : + de 23 000</v>
      </c>
      <c r="AG165" s="650">
        <f t="shared" si="13"/>
        <v>56613.195842126574</v>
      </c>
      <c r="AH165" s="631" t="str">
        <f t="shared" si="14"/>
        <v>catégorie 2</v>
      </c>
      <c r="AI165" s="631"/>
    </row>
    <row r="166" spans="1:35" ht="14">
      <c r="A166" t="s">
        <v>750</v>
      </c>
      <c r="B166" s="645" t="s">
        <v>27</v>
      </c>
      <c r="C166" s="651">
        <v>28316</v>
      </c>
      <c r="D166" s="652">
        <v>39655</v>
      </c>
      <c r="E166" s="473" t="s">
        <v>501</v>
      </c>
      <c r="F166" s="1029" t="s">
        <v>3</v>
      </c>
      <c r="G166" s="472" t="s">
        <v>395</v>
      </c>
      <c r="H166" s="472" t="s">
        <v>393</v>
      </c>
      <c r="I166" s="474" t="s">
        <v>22</v>
      </c>
      <c r="J166" s="474" t="s">
        <v>29</v>
      </c>
      <c r="K166" s="475" t="s">
        <v>43</v>
      </c>
      <c r="L166" s="861" t="str">
        <f t="shared" si="10"/>
        <v>salarié</v>
      </c>
      <c r="M166" s="485" t="s">
        <v>48</v>
      </c>
      <c r="N166" s="485" t="s">
        <v>1</v>
      </c>
      <c r="O166" s="486">
        <v>0.8</v>
      </c>
      <c r="P166" s="481" t="s">
        <v>59</v>
      </c>
      <c r="Q166" s="482" t="s">
        <v>32</v>
      </c>
      <c r="R166" s="478">
        <v>0</v>
      </c>
      <c r="S166" s="479">
        <v>0</v>
      </c>
      <c r="T166" s="1">
        <v>40000</v>
      </c>
      <c r="U166" s="656">
        <v>30976.765468004931</v>
      </c>
      <c r="V166" s="479">
        <v>250</v>
      </c>
      <c r="W166" s="483">
        <v>0</v>
      </c>
      <c r="X166" s="476">
        <v>1</v>
      </c>
      <c r="Y166" s="476">
        <v>0</v>
      </c>
      <c r="Z166" s="476">
        <v>0</v>
      </c>
      <c r="AA166" s="646" t="s">
        <v>998</v>
      </c>
      <c r="AB166" s="647">
        <f t="shared" si="11"/>
        <v>43</v>
      </c>
      <c r="AC166" s="647">
        <f t="shared" si="12"/>
        <v>12</v>
      </c>
      <c r="AD166" s="648" t="str">
        <f>IF(AB166="","",VLOOKUP(AB166,trancheage[],2,TRUE))</f>
        <v>40 à 49 ans</v>
      </c>
      <c r="AE166" s="648" t="str">
        <f>IFERROR(VLOOKUP(AC166,trancheanciennete[],2,TRUE),"")</f>
        <v>3 : 10-14</v>
      </c>
      <c r="AF166" s="649" t="str">
        <f>IF(T166&gt;0,VLOOKUP(T166,Trancheremuneration[],2,TRUE),"")</f>
        <v>5 : + de 23 000</v>
      </c>
      <c r="AG166" s="650">
        <f t="shared" si="13"/>
        <v>37422.118561605916</v>
      </c>
      <c r="AH166" s="631" t="str">
        <f t="shared" si="14"/>
        <v>catégorie 2</v>
      </c>
      <c r="AI166" s="631"/>
    </row>
    <row r="167" spans="1:35" ht="14">
      <c r="A167" t="s">
        <v>751</v>
      </c>
      <c r="B167" s="645" t="s">
        <v>27</v>
      </c>
      <c r="C167" s="651">
        <v>29775</v>
      </c>
      <c r="D167" s="652">
        <v>39723</v>
      </c>
      <c r="E167" s="473" t="s">
        <v>501</v>
      </c>
      <c r="F167" s="1029" t="s">
        <v>50</v>
      </c>
      <c r="G167" s="472" t="s">
        <v>396</v>
      </c>
      <c r="H167" s="472" t="s">
        <v>393</v>
      </c>
      <c r="I167" s="474" t="s">
        <v>38</v>
      </c>
      <c r="J167" s="474" t="s">
        <v>284</v>
      </c>
      <c r="K167" s="475" t="s">
        <v>37</v>
      </c>
      <c r="L167" s="861" t="str">
        <f t="shared" si="10"/>
        <v>salarié</v>
      </c>
      <c r="M167" s="485" t="s">
        <v>48</v>
      </c>
      <c r="N167" s="485" t="s">
        <v>1</v>
      </c>
      <c r="O167" s="484">
        <v>0.8</v>
      </c>
      <c r="P167" s="476" t="s">
        <v>58</v>
      </c>
      <c r="Q167" s="477" t="s">
        <v>34</v>
      </c>
      <c r="R167" s="478">
        <v>1</v>
      </c>
      <c r="S167" s="479">
        <v>7</v>
      </c>
      <c r="T167" s="1">
        <v>36880</v>
      </c>
      <c r="U167" s="656">
        <v>52605.998578252838</v>
      </c>
      <c r="V167" s="479">
        <v>250</v>
      </c>
      <c r="W167" s="483">
        <v>1</v>
      </c>
      <c r="X167" s="476">
        <v>0</v>
      </c>
      <c r="Y167" s="476">
        <v>1</v>
      </c>
      <c r="Z167" s="476">
        <v>0</v>
      </c>
      <c r="AA167" s="646" t="s">
        <v>998</v>
      </c>
      <c r="AB167" s="647">
        <f t="shared" si="11"/>
        <v>39</v>
      </c>
      <c r="AC167" s="647">
        <f t="shared" si="12"/>
        <v>11</v>
      </c>
      <c r="AD167" s="648" t="str">
        <f>IF(AB167="","",VLOOKUP(AB167,trancheage[],2,TRUE))</f>
        <v>40 à 49 ans</v>
      </c>
      <c r="AE167" s="648" t="str">
        <f>IFERROR(VLOOKUP(AC167,trancheanciennete[],2,TRUE),"")</f>
        <v>3 : 10-14</v>
      </c>
      <c r="AF167" s="649" t="str">
        <f>IF(T167&gt;0,VLOOKUP(T167,Trancheremuneration[],2,TRUE),"")</f>
        <v>5 : + de 23 000</v>
      </c>
      <c r="AG167" s="650">
        <f t="shared" si="13"/>
        <v>63377.198293903406</v>
      </c>
      <c r="AH167" s="631" t="str">
        <f t="shared" si="14"/>
        <v>catégorie 2</v>
      </c>
      <c r="AI167" s="631"/>
    </row>
    <row r="168" spans="1:35" ht="14">
      <c r="A168" t="s">
        <v>752</v>
      </c>
      <c r="B168" s="645" t="s">
        <v>27</v>
      </c>
      <c r="C168" s="651">
        <v>32210</v>
      </c>
      <c r="D168" s="652">
        <v>39796</v>
      </c>
      <c r="E168" s="473" t="s">
        <v>501</v>
      </c>
      <c r="F168" s="1029" t="s">
        <v>50</v>
      </c>
      <c r="G168" s="472" t="s">
        <v>397</v>
      </c>
      <c r="H168" s="472" t="s">
        <v>393</v>
      </c>
      <c r="I168" s="474" t="s">
        <v>22</v>
      </c>
      <c r="J168" s="474" t="s">
        <v>29</v>
      </c>
      <c r="K168" s="475" t="s">
        <v>43</v>
      </c>
      <c r="L168" s="861" t="str">
        <f t="shared" si="10"/>
        <v>salarié</v>
      </c>
      <c r="M168" s="485" t="s">
        <v>48</v>
      </c>
      <c r="N168" s="485" t="s">
        <v>0</v>
      </c>
      <c r="O168" s="484">
        <v>0.5</v>
      </c>
      <c r="P168" s="476" t="s">
        <v>58</v>
      </c>
      <c r="Q168" s="477" t="s">
        <v>30</v>
      </c>
      <c r="R168" s="478">
        <v>0</v>
      </c>
      <c r="S168" s="479">
        <v>7</v>
      </c>
      <c r="T168" s="1">
        <v>64000</v>
      </c>
      <c r="U168" s="656">
        <v>46333.881914424732</v>
      </c>
      <c r="V168" s="479">
        <v>250</v>
      </c>
      <c r="W168" s="483">
        <v>0</v>
      </c>
      <c r="X168" s="476">
        <v>0</v>
      </c>
      <c r="Y168" s="476">
        <v>1</v>
      </c>
      <c r="Z168" s="476">
        <v>0</v>
      </c>
      <c r="AA168" s="646" t="s">
        <v>998</v>
      </c>
      <c r="AB168" s="647">
        <f t="shared" si="11"/>
        <v>32</v>
      </c>
      <c r="AC168" s="647">
        <f t="shared" si="12"/>
        <v>11</v>
      </c>
      <c r="AD168" s="648" t="str">
        <f>IF(AB168="","",VLOOKUP(AB168,trancheage[],2,TRUE))</f>
        <v>30 à 39 ans</v>
      </c>
      <c r="AE168" s="648" t="str">
        <f>IFERROR(VLOOKUP(AC168,trancheanciennete[],2,TRUE),"")</f>
        <v>3 : 10-14</v>
      </c>
      <c r="AF168" s="649" t="str">
        <f>IF(T168&gt;0,VLOOKUP(T168,Trancheremuneration[],2,TRUE),"")</f>
        <v>5 : + de 23 000</v>
      </c>
      <c r="AG168" s="650">
        <f t="shared" si="13"/>
        <v>69750.822871637094</v>
      </c>
      <c r="AH168" s="631" t="str">
        <f t="shared" si="14"/>
        <v>catégorie 2</v>
      </c>
      <c r="AI168" s="631"/>
    </row>
    <row r="169" spans="1:35" ht="14">
      <c r="A169" t="s">
        <v>578</v>
      </c>
      <c r="B169" s="645" t="s">
        <v>27</v>
      </c>
      <c r="C169" s="651">
        <v>23232</v>
      </c>
      <c r="D169" s="652">
        <v>39807</v>
      </c>
      <c r="E169" s="473" t="s">
        <v>504</v>
      </c>
      <c r="F169" s="1029" t="s">
        <v>3</v>
      </c>
      <c r="G169" s="472" t="s">
        <v>398</v>
      </c>
      <c r="H169" s="472" t="s">
        <v>393</v>
      </c>
      <c r="I169" s="474" t="s">
        <v>22</v>
      </c>
      <c r="J169" s="474" t="s">
        <v>29</v>
      </c>
      <c r="K169" s="475" t="s">
        <v>43</v>
      </c>
      <c r="L169" s="861" t="str">
        <f t="shared" si="10"/>
        <v>salarié</v>
      </c>
      <c r="M169" s="485" t="s">
        <v>48</v>
      </c>
      <c r="N169" s="485" t="s">
        <v>0</v>
      </c>
      <c r="O169" s="486">
        <v>0.8</v>
      </c>
      <c r="P169" s="481" t="s">
        <v>58</v>
      </c>
      <c r="Q169" s="482" t="s">
        <v>33</v>
      </c>
      <c r="R169" s="478">
        <v>1</v>
      </c>
      <c r="S169" s="479">
        <v>14</v>
      </c>
      <c r="T169" s="1">
        <v>47920</v>
      </c>
      <c r="U169" s="656">
        <v>17727.997319887167</v>
      </c>
      <c r="V169" s="479">
        <v>500</v>
      </c>
      <c r="W169" s="483">
        <v>1</v>
      </c>
      <c r="X169" s="476">
        <v>0</v>
      </c>
      <c r="Y169" s="476">
        <v>0</v>
      </c>
      <c r="Z169" s="476">
        <v>1</v>
      </c>
      <c r="AA169" s="646" t="s">
        <v>998</v>
      </c>
      <c r="AB169" s="647">
        <f t="shared" si="11"/>
        <v>57</v>
      </c>
      <c r="AC169" s="647">
        <f t="shared" si="12"/>
        <v>11</v>
      </c>
      <c r="AD169" s="648" t="str">
        <f>IF(AB169="","",VLOOKUP(AB169,trancheage[],2,TRUE))</f>
        <v>50 ans et plus</v>
      </c>
      <c r="AE169" s="648" t="str">
        <f>IFERROR(VLOOKUP(AC169,trancheanciennete[],2,TRUE),"")</f>
        <v>3 : 10-14</v>
      </c>
      <c r="AF169" s="649" t="str">
        <f>IF(T169&gt;0,VLOOKUP(T169,Trancheremuneration[],2,TRUE),"")</f>
        <v>5 : + de 23 000</v>
      </c>
      <c r="AG169" s="650">
        <f t="shared" si="13"/>
        <v>21773.596783864599</v>
      </c>
      <c r="AH169" s="631" t="str">
        <f t="shared" si="14"/>
        <v>catégorie 2</v>
      </c>
      <c r="AI169" s="631"/>
    </row>
    <row r="170" spans="1:35" ht="14">
      <c r="A170" t="s">
        <v>753</v>
      </c>
      <c r="B170" s="645" t="s">
        <v>27</v>
      </c>
      <c r="C170" s="651">
        <v>29035</v>
      </c>
      <c r="D170" s="652">
        <v>39814</v>
      </c>
      <c r="E170" s="473" t="s">
        <v>501</v>
      </c>
      <c r="F170" s="1029" t="s">
        <v>3</v>
      </c>
      <c r="G170" s="472" t="s">
        <v>399</v>
      </c>
      <c r="H170" s="472" t="s">
        <v>392</v>
      </c>
      <c r="I170" s="474" t="s">
        <v>23</v>
      </c>
      <c r="J170" s="474" t="s">
        <v>18</v>
      </c>
      <c r="K170" s="475" t="s">
        <v>36</v>
      </c>
      <c r="L170" s="861" t="str">
        <f t="shared" si="10"/>
        <v>salarié</v>
      </c>
      <c r="M170" s="485" t="s">
        <v>48</v>
      </c>
      <c r="N170" s="485" t="s">
        <v>1</v>
      </c>
      <c r="O170" s="486">
        <v>0.8</v>
      </c>
      <c r="P170" s="481" t="s">
        <v>59</v>
      </c>
      <c r="Q170" s="482" t="s">
        <v>31</v>
      </c>
      <c r="R170" s="478">
        <v>0</v>
      </c>
      <c r="S170" s="479">
        <v>7</v>
      </c>
      <c r="T170" s="1">
        <v>17200</v>
      </c>
      <c r="U170" s="656">
        <v>41924.283295994217</v>
      </c>
      <c r="V170" s="479">
        <v>250</v>
      </c>
      <c r="W170" s="483">
        <v>0</v>
      </c>
      <c r="X170" s="476">
        <v>1</v>
      </c>
      <c r="Y170" s="476">
        <v>1</v>
      </c>
      <c r="Z170" s="476">
        <v>1</v>
      </c>
      <c r="AA170" s="646" t="s">
        <v>998</v>
      </c>
      <c r="AB170" s="647">
        <f t="shared" si="11"/>
        <v>41</v>
      </c>
      <c r="AC170" s="647">
        <f t="shared" si="12"/>
        <v>11</v>
      </c>
      <c r="AD170" s="648" t="str">
        <f>IF(AB170="","",VLOOKUP(AB170,trancheage[],2,TRUE))</f>
        <v>40 à 49 ans</v>
      </c>
      <c r="AE170" s="648" t="str">
        <f>IFERROR(VLOOKUP(AC170,trancheanciennete[],2,TRUE),"")</f>
        <v>3 : 10-14</v>
      </c>
      <c r="AF170" s="649" t="str">
        <f>IF(T170&gt;0,VLOOKUP(T170,Trancheremuneration[],2,TRUE),"")</f>
        <v>3:17 000-20 000</v>
      </c>
      <c r="AG170" s="650">
        <f t="shared" si="13"/>
        <v>50559.139955193059</v>
      </c>
      <c r="AH170" s="631" t="str">
        <f t="shared" si="14"/>
        <v>catégorie 1</v>
      </c>
      <c r="AI170" s="631"/>
    </row>
    <row r="171" spans="1:35" ht="14">
      <c r="A171" t="s">
        <v>754</v>
      </c>
      <c r="B171" s="645" t="s">
        <v>27</v>
      </c>
      <c r="C171" s="651">
        <v>27410</v>
      </c>
      <c r="D171" s="652">
        <v>39905</v>
      </c>
      <c r="E171" s="473" t="s">
        <v>505</v>
      </c>
      <c r="F171" s="1029" t="s">
        <v>50</v>
      </c>
      <c r="G171" s="472" t="s">
        <v>397</v>
      </c>
      <c r="H171" s="472" t="s">
        <v>392</v>
      </c>
      <c r="I171" s="474" t="s">
        <v>22</v>
      </c>
      <c r="J171" s="474" t="s">
        <v>29</v>
      </c>
      <c r="K171" s="475" t="s">
        <v>35</v>
      </c>
      <c r="L171" s="861" t="str">
        <f t="shared" si="10"/>
        <v>salarié</v>
      </c>
      <c r="M171" s="485" t="s">
        <v>48</v>
      </c>
      <c r="N171" s="485" t="s">
        <v>1</v>
      </c>
      <c r="O171" s="486">
        <v>1</v>
      </c>
      <c r="P171" s="481" t="s">
        <v>59</v>
      </c>
      <c r="Q171" s="482" t="s">
        <v>30</v>
      </c>
      <c r="R171" s="478">
        <v>0</v>
      </c>
      <c r="S171" s="479">
        <v>7</v>
      </c>
      <c r="T171" s="1">
        <v>37360</v>
      </c>
      <c r="U171" s="656">
        <v>26156.023906499271</v>
      </c>
      <c r="V171" s="479">
        <v>500</v>
      </c>
      <c r="W171" s="483">
        <v>0</v>
      </c>
      <c r="X171" s="476">
        <v>0</v>
      </c>
      <c r="Y171" s="476">
        <v>0</v>
      </c>
      <c r="Z171" s="476">
        <v>1</v>
      </c>
      <c r="AA171" s="646" t="s">
        <v>998</v>
      </c>
      <c r="AB171" s="647">
        <f t="shared" si="11"/>
        <v>45</v>
      </c>
      <c r="AC171" s="647">
        <f t="shared" si="12"/>
        <v>11</v>
      </c>
      <c r="AD171" s="648" t="str">
        <f>IF(AB171="","",VLOOKUP(AB171,trancheage[],2,TRUE))</f>
        <v>40 à 49 ans</v>
      </c>
      <c r="AE171" s="648" t="str">
        <f>IFERROR(VLOOKUP(AC171,trancheanciennete[],2,TRUE),"")</f>
        <v>3 : 10-14</v>
      </c>
      <c r="AF171" s="649" t="str">
        <f>IF(T171&gt;0,VLOOKUP(T171,Trancheremuneration[],2,TRUE),"")</f>
        <v>5 : + de 23 000</v>
      </c>
      <c r="AG171" s="650">
        <f t="shared" si="13"/>
        <v>26656.023906499271</v>
      </c>
      <c r="AH171" s="631" t="str">
        <f t="shared" si="14"/>
        <v>catégorie 1</v>
      </c>
      <c r="AI171" s="631"/>
    </row>
    <row r="172" spans="1:35" ht="14">
      <c r="A172" t="s">
        <v>755</v>
      </c>
      <c r="B172" s="645" t="s">
        <v>27</v>
      </c>
      <c r="C172" s="651">
        <v>30537</v>
      </c>
      <c r="D172" s="652">
        <v>39939</v>
      </c>
      <c r="E172" s="473" t="s">
        <v>504</v>
      </c>
      <c r="F172" s="1029" t="s">
        <v>3</v>
      </c>
      <c r="G172" s="472" t="s">
        <v>398</v>
      </c>
      <c r="H172" s="472" t="s">
        <v>392</v>
      </c>
      <c r="I172" s="474" t="s">
        <v>22</v>
      </c>
      <c r="J172" s="474" t="s">
        <v>29</v>
      </c>
      <c r="K172" s="475" t="s">
        <v>43</v>
      </c>
      <c r="L172" s="861" t="str">
        <f t="shared" si="10"/>
        <v>salarié</v>
      </c>
      <c r="M172" s="485" t="s">
        <v>48</v>
      </c>
      <c r="N172" s="485" t="s">
        <v>0</v>
      </c>
      <c r="O172" s="486">
        <v>1</v>
      </c>
      <c r="P172" s="481" t="s">
        <v>58</v>
      </c>
      <c r="Q172" s="482" t="s">
        <v>34</v>
      </c>
      <c r="R172" s="478">
        <v>1</v>
      </c>
      <c r="S172" s="479">
        <v>7</v>
      </c>
      <c r="T172" s="1">
        <v>25720</v>
      </c>
      <c r="U172" s="656">
        <v>9589.3240835680372</v>
      </c>
      <c r="V172" s="479">
        <v>250</v>
      </c>
      <c r="W172" s="483">
        <v>1</v>
      </c>
      <c r="X172" s="476">
        <v>0</v>
      </c>
      <c r="Y172" s="476">
        <v>1</v>
      </c>
      <c r="Z172" s="476">
        <v>0</v>
      </c>
      <c r="AA172" s="646" t="s">
        <v>998</v>
      </c>
      <c r="AB172" s="647">
        <f t="shared" si="11"/>
        <v>37</v>
      </c>
      <c r="AC172" s="647">
        <f t="shared" si="12"/>
        <v>11</v>
      </c>
      <c r="AD172" s="648" t="str">
        <f>IF(AB172="","",VLOOKUP(AB172,trancheage[],2,TRUE))</f>
        <v>30 à 39 ans</v>
      </c>
      <c r="AE172" s="648" t="str">
        <f>IFERROR(VLOOKUP(AC172,trancheanciennete[],2,TRUE),"")</f>
        <v>3 : 10-14</v>
      </c>
      <c r="AF172" s="649" t="str">
        <f>IF(T172&gt;0,VLOOKUP(T172,Trancheremuneration[],2,TRUE),"")</f>
        <v>5 : + de 23 000</v>
      </c>
      <c r="AG172" s="650">
        <f t="shared" si="13"/>
        <v>9839.3240835680372</v>
      </c>
      <c r="AH172" s="631" t="str">
        <f t="shared" si="14"/>
        <v>catégorie 1</v>
      </c>
      <c r="AI172" s="631"/>
    </row>
    <row r="173" spans="1:35" ht="14">
      <c r="A173" t="s">
        <v>604</v>
      </c>
      <c r="B173" s="645" t="s">
        <v>27</v>
      </c>
      <c r="C173" s="651">
        <v>25641</v>
      </c>
      <c r="D173" s="652">
        <v>39968</v>
      </c>
      <c r="E173" s="473" t="s">
        <v>501</v>
      </c>
      <c r="F173" s="1029" t="s">
        <v>3</v>
      </c>
      <c r="G173" s="472" t="s">
        <v>395</v>
      </c>
      <c r="H173" s="472" t="s">
        <v>392</v>
      </c>
      <c r="I173" s="474" t="s">
        <v>22</v>
      </c>
      <c r="J173" s="474" t="s">
        <v>29</v>
      </c>
      <c r="K173" s="475" t="s">
        <v>43</v>
      </c>
      <c r="L173" s="861" t="str">
        <f t="shared" si="10"/>
        <v>salarié</v>
      </c>
      <c r="M173" s="485" t="s">
        <v>42</v>
      </c>
      <c r="N173" s="485" t="s">
        <v>1</v>
      </c>
      <c r="O173" s="486">
        <v>1</v>
      </c>
      <c r="P173" s="481" t="s">
        <v>59</v>
      </c>
      <c r="Q173" s="482" t="s">
        <v>33</v>
      </c>
      <c r="R173" s="478">
        <v>1</v>
      </c>
      <c r="S173" s="479">
        <v>7</v>
      </c>
      <c r="T173" s="1">
        <v>11200</v>
      </c>
      <c r="U173" s="656">
        <v>16901.70308779904</v>
      </c>
      <c r="V173" s="479">
        <v>250</v>
      </c>
      <c r="W173" s="483">
        <v>1</v>
      </c>
      <c r="X173" s="476">
        <v>0</v>
      </c>
      <c r="Y173" s="476">
        <v>1</v>
      </c>
      <c r="Z173" s="476">
        <v>0</v>
      </c>
      <c r="AA173" s="646" t="s">
        <v>998</v>
      </c>
      <c r="AB173" s="647">
        <f t="shared" si="11"/>
        <v>50</v>
      </c>
      <c r="AC173" s="647">
        <f t="shared" si="12"/>
        <v>11</v>
      </c>
      <c r="AD173" s="648" t="str">
        <f>IF(AB173="","",VLOOKUP(AB173,trancheage[],2,TRUE))</f>
        <v>50 ans et plus</v>
      </c>
      <c r="AE173" s="648" t="str">
        <f>IFERROR(VLOOKUP(AC173,trancheanciennete[],2,TRUE),"")</f>
        <v>3 : 10-14</v>
      </c>
      <c r="AF173" s="649" t="str">
        <f>IF(T173&gt;0,VLOOKUP(T173,Trancheremuneration[],2,TRUE),"")</f>
        <v>1:7 000-14 000</v>
      </c>
      <c r="AG173" s="650">
        <f t="shared" si="13"/>
        <v>17151.70308779904</v>
      </c>
      <c r="AH173" s="631" t="str">
        <f t="shared" si="14"/>
        <v>catégorie 1</v>
      </c>
      <c r="AI173" s="631"/>
    </row>
    <row r="174" spans="1:35" ht="14">
      <c r="A174" t="s">
        <v>756</v>
      </c>
      <c r="B174" s="645" t="s">
        <v>47</v>
      </c>
      <c r="C174" s="651">
        <v>25081</v>
      </c>
      <c r="D174" s="652">
        <v>39977</v>
      </c>
      <c r="E174" s="473" t="s">
        <v>501</v>
      </c>
      <c r="F174" s="1029" t="s">
        <v>3</v>
      </c>
      <c r="G174" s="472" t="s">
        <v>395</v>
      </c>
      <c r="H174" s="472" t="s">
        <v>392</v>
      </c>
      <c r="I174" s="474" t="s">
        <v>23</v>
      </c>
      <c r="J174" s="474" t="s">
        <v>18</v>
      </c>
      <c r="K174" s="475" t="s">
        <v>36</v>
      </c>
      <c r="L174" s="861" t="str">
        <f t="shared" si="10"/>
        <v>salarié</v>
      </c>
      <c r="M174" s="485" t="s">
        <v>48</v>
      </c>
      <c r="N174" s="485" t="s">
        <v>0</v>
      </c>
      <c r="O174" s="486">
        <v>1</v>
      </c>
      <c r="P174" s="481" t="s">
        <v>58</v>
      </c>
      <c r="Q174" s="482" t="s">
        <v>34</v>
      </c>
      <c r="R174" s="478">
        <v>1</v>
      </c>
      <c r="S174" s="479">
        <v>28</v>
      </c>
      <c r="T174" s="1">
        <v>16720</v>
      </c>
      <c r="U174" s="656">
        <v>39335.705749000866</v>
      </c>
      <c r="V174" s="479">
        <v>250</v>
      </c>
      <c r="W174" s="483">
        <v>1</v>
      </c>
      <c r="X174" s="476">
        <v>0</v>
      </c>
      <c r="Y174" s="476">
        <v>1</v>
      </c>
      <c r="Z174" s="476">
        <v>0</v>
      </c>
      <c r="AA174" s="646" t="s">
        <v>998</v>
      </c>
      <c r="AB174" s="647">
        <f t="shared" si="11"/>
        <v>52</v>
      </c>
      <c r="AC174" s="647">
        <f t="shared" si="12"/>
        <v>11</v>
      </c>
      <c r="AD174" s="648" t="str">
        <f>IF(AB174="","",VLOOKUP(AB174,trancheage[],2,TRUE))</f>
        <v>50 ans et plus</v>
      </c>
      <c r="AE174" s="648" t="str">
        <f>IFERROR(VLOOKUP(AC174,trancheanciennete[],2,TRUE),"")</f>
        <v>3 : 10-14</v>
      </c>
      <c r="AF174" s="649" t="str">
        <f>IF(T174&gt;0,VLOOKUP(T174,Trancheremuneration[],2,TRUE),"")</f>
        <v>2:14 000-17 000</v>
      </c>
      <c r="AG174" s="650">
        <f t="shared" si="13"/>
        <v>39585.705749000866</v>
      </c>
      <c r="AH174" s="631" t="str">
        <f t="shared" si="14"/>
        <v>catégorie 1</v>
      </c>
      <c r="AI174" s="631"/>
    </row>
    <row r="175" spans="1:35" ht="14">
      <c r="A175" t="s">
        <v>615</v>
      </c>
      <c r="B175" s="645" t="s">
        <v>27</v>
      </c>
      <c r="C175" s="651">
        <v>34257</v>
      </c>
      <c r="D175" s="652">
        <v>39993</v>
      </c>
      <c r="E175" s="473" t="s">
        <v>501</v>
      </c>
      <c r="F175" s="1029" t="s">
        <v>50</v>
      </c>
      <c r="G175" s="472" t="s">
        <v>395</v>
      </c>
      <c r="H175" s="472" t="s">
        <v>392</v>
      </c>
      <c r="I175" s="474" t="s">
        <v>22</v>
      </c>
      <c r="J175" s="474" t="s">
        <v>29</v>
      </c>
      <c r="K175" s="475" t="s">
        <v>43</v>
      </c>
      <c r="L175" s="861" t="str">
        <f t="shared" si="10"/>
        <v>salarié</v>
      </c>
      <c r="M175" s="485" t="s">
        <v>40</v>
      </c>
      <c r="N175" s="485" t="s">
        <v>0</v>
      </c>
      <c r="O175" s="486">
        <v>1</v>
      </c>
      <c r="P175" s="481" t="s">
        <v>58</v>
      </c>
      <c r="Q175" s="482" t="s">
        <v>33</v>
      </c>
      <c r="R175" s="478">
        <v>1</v>
      </c>
      <c r="S175" s="479">
        <v>14</v>
      </c>
      <c r="T175" s="1">
        <v>35440</v>
      </c>
      <c r="U175" s="656">
        <v>17663.602358845863</v>
      </c>
      <c r="V175" s="479">
        <v>250</v>
      </c>
      <c r="W175" s="483">
        <v>1</v>
      </c>
      <c r="X175" s="476">
        <v>0</v>
      </c>
      <c r="Y175" s="476">
        <v>0</v>
      </c>
      <c r="Z175" s="476">
        <v>0</v>
      </c>
      <c r="AA175" s="646" t="s">
        <v>998</v>
      </c>
      <c r="AB175" s="647">
        <f t="shared" si="11"/>
        <v>26</v>
      </c>
      <c r="AC175" s="647">
        <f t="shared" si="12"/>
        <v>11</v>
      </c>
      <c r="AD175" s="648" t="str">
        <f>IF(AB175="","",VLOOKUP(AB175,trancheage[],2,TRUE))</f>
        <v>Moins de 30 ans</v>
      </c>
      <c r="AE175" s="648" t="str">
        <f>IFERROR(VLOOKUP(AC175,trancheanciennete[],2,TRUE),"")</f>
        <v>3 : 10-14</v>
      </c>
      <c r="AF175" s="649" t="str">
        <f>IF(T175&gt;0,VLOOKUP(T175,Trancheremuneration[],2,TRUE),"")</f>
        <v>5 : + de 23 000</v>
      </c>
      <c r="AG175" s="650">
        <f t="shared" si="13"/>
        <v>17913.602358845863</v>
      </c>
      <c r="AH175" s="631" t="str">
        <f t="shared" si="14"/>
        <v>catégorie 1</v>
      </c>
      <c r="AI175" s="631"/>
    </row>
    <row r="176" spans="1:35" ht="14">
      <c r="A176" t="s">
        <v>757</v>
      </c>
      <c r="B176" s="645" t="s">
        <v>27</v>
      </c>
      <c r="C176" s="651">
        <v>26374</v>
      </c>
      <c r="D176" s="652">
        <v>40035</v>
      </c>
      <c r="E176" s="473" t="s">
        <v>502</v>
      </c>
      <c r="F176" s="1029" t="s">
        <v>3</v>
      </c>
      <c r="G176" s="472" t="s">
        <v>399</v>
      </c>
      <c r="H176" s="472" t="s">
        <v>392</v>
      </c>
      <c r="I176" s="474" t="s">
        <v>22</v>
      </c>
      <c r="J176" s="474" t="s">
        <v>28</v>
      </c>
      <c r="K176" s="475" t="s">
        <v>43</v>
      </c>
      <c r="L176" s="861" t="str">
        <f t="shared" si="10"/>
        <v>salarié</v>
      </c>
      <c r="M176" s="483" t="s">
        <v>48</v>
      </c>
      <c r="N176" s="483" t="s">
        <v>0</v>
      </c>
      <c r="O176" s="486">
        <v>1</v>
      </c>
      <c r="P176" s="481" t="s">
        <v>58</v>
      </c>
      <c r="Q176" s="482" t="s">
        <v>31</v>
      </c>
      <c r="R176" s="478">
        <v>0</v>
      </c>
      <c r="S176" s="479">
        <v>7</v>
      </c>
      <c r="T176" s="1">
        <v>20080</v>
      </c>
      <c r="U176" s="656">
        <v>7870.7744944180031</v>
      </c>
      <c r="V176" s="479">
        <v>250</v>
      </c>
      <c r="W176" s="483">
        <v>0</v>
      </c>
      <c r="X176" s="476">
        <v>1</v>
      </c>
      <c r="Y176" s="476">
        <v>0</v>
      </c>
      <c r="Z176" s="476">
        <v>0</v>
      </c>
      <c r="AA176" s="646" t="s">
        <v>998</v>
      </c>
      <c r="AB176" s="647">
        <f t="shared" si="11"/>
        <v>48</v>
      </c>
      <c r="AC176" s="647">
        <f t="shared" si="12"/>
        <v>11</v>
      </c>
      <c r="AD176" s="648" t="str">
        <f>IF(AB176="","",VLOOKUP(AB176,trancheage[],2,TRUE))</f>
        <v>40 à 49 ans</v>
      </c>
      <c r="AE176" s="648" t="str">
        <f>IFERROR(VLOOKUP(AC176,trancheanciennete[],2,TRUE),"")</f>
        <v>3 : 10-14</v>
      </c>
      <c r="AF176" s="649" t="str">
        <f>IF(T176&gt;0,VLOOKUP(T176,Trancheremuneration[],2,TRUE),"")</f>
        <v>4: 20 000-23 000</v>
      </c>
      <c r="AG176" s="650">
        <f t="shared" si="13"/>
        <v>8120.7744944180031</v>
      </c>
      <c r="AH176" s="631" t="str">
        <f t="shared" si="14"/>
        <v>catégorie 1</v>
      </c>
      <c r="AI176" s="631"/>
    </row>
    <row r="177" spans="1:35" ht="14">
      <c r="A177" t="s">
        <v>758</v>
      </c>
      <c r="B177" s="645" t="s">
        <v>27</v>
      </c>
      <c r="C177" s="651">
        <v>31742</v>
      </c>
      <c r="D177" s="652">
        <v>40067</v>
      </c>
      <c r="E177" s="473" t="s">
        <v>505</v>
      </c>
      <c r="F177" s="1029" t="s">
        <v>50</v>
      </c>
      <c r="G177" s="472" t="s">
        <v>396</v>
      </c>
      <c r="H177" s="472" t="s">
        <v>392</v>
      </c>
      <c r="I177" s="474" t="s">
        <v>22</v>
      </c>
      <c r="J177" s="474" t="s">
        <v>28</v>
      </c>
      <c r="K177" s="475" t="s">
        <v>43</v>
      </c>
      <c r="L177" s="861" t="str">
        <f t="shared" si="10"/>
        <v>salarié</v>
      </c>
      <c r="M177" s="483" t="s">
        <v>48</v>
      </c>
      <c r="N177" s="483" t="s">
        <v>0</v>
      </c>
      <c r="O177" s="486">
        <v>1</v>
      </c>
      <c r="P177" s="481" t="s">
        <v>58</v>
      </c>
      <c r="Q177" s="482" t="s">
        <v>31</v>
      </c>
      <c r="R177" s="478">
        <v>0</v>
      </c>
      <c r="S177" s="479">
        <v>0</v>
      </c>
      <c r="T177" s="1">
        <v>10960</v>
      </c>
      <c r="U177" s="656">
        <v>15337.539787358197</v>
      </c>
      <c r="V177" s="479">
        <v>100</v>
      </c>
      <c r="W177" s="483">
        <v>0</v>
      </c>
      <c r="X177" s="476">
        <v>1</v>
      </c>
      <c r="Y177" s="476">
        <v>0</v>
      </c>
      <c r="Z177" s="476">
        <v>0</v>
      </c>
      <c r="AA177" s="646" t="s">
        <v>998</v>
      </c>
      <c r="AB177" s="647">
        <f t="shared" si="11"/>
        <v>33</v>
      </c>
      <c r="AC177" s="647">
        <f t="shared" si="12"/>
        <v>10</v>
      </c>
      <c r="AD177" s="648" t="str">
        <f>IF(AB177="","",VLOOKUP(AB177,trancheage[],2,TRUE))</f>
        <v>30 à 39 ans</v>
      </c>
      <c r="AE177" s="648" t="str">
        <f>IFERROR(VLOOKUP(AC177,trancheanciennete[],2,TRUE),"")</f>
        <v>3 : 10-14</v>
      </c>
      <c r="AF177" s="649" t="str">
        <f>IF(T177&gt;0,VLOOKUP(T177,Trancheremuneration[],2,TRUE),"")</f>
        <v>1:7 000-14 000</v>
      </c>
      <c r="AG177" s="650">
        <f t="shared" si="13"/>
        <v>15437.539787358197</v>
      </c>
      <c r="AH177" s="631" t="str">
        <f t="shared" si="14"/>
        <v>catégorie 1</v>
      </c>
      <c r="AI177" s="631"/>
    </row>
    <row r="178" spans="1:35" ht="14">
      <c r="A178" t="s">
        <v>759</v>
      </c>
      <c r="B178" s="645" t="s">
        <v>47</v>
      </c>
      <c r="C178" s="651">
        <v>26093</v>
      </c>
      <c r="D178" s="652">
        <v>40106</v>
      </c>
      <c r="E178" s="473" t="s">
        <v>501</v>
      </c>
      <c r="F178" s="1029" t="s">
        <v>50</v>
      </c>
      <c r="G178" s="472" t="s">
        <v>397</v>
      </c>
      <c r="H178" s="472" t="s">
        <v>392</v>
      </c>
      <c r="I178" s="474" t="s">
        <v>23</v>
      </c>
      <c r="J178" s="474" t="s">
        <v>18</v>
      </c>
      <c r="K178" s="475" t="s">
        <v>36</v>
      </c>
      <c r="L178" s="861" t="str">
        <f t="shared" si="10"/>
        <v>salarié</v>
      </c>
      <c r="M178" s="485" t="s">
        <v>48</v>
      </c>
      <c r="N178" s="485" t="s">
        <v>1</v>
      </c>
      <c r="O178" s="486">
        <v>1</v>
      </c>
      <c r="P178" s="481" t="s">
        <v>58</v>
      </c>
      <c r="Q178" s="482" t="s">
        <v>39</v>
      </c>
      <c r="R178" s="478">
        <v>1</v>
      </c>
      <c r="S178" s="479">
        <v>0</v>
      </c>
      <c r="T178" s="1">
        <v>14800</v>
      </c>
      <c r="U178" s="656">
        <v>25043.769958438315</v>
      </c>
      <c r="V178" s="479">
        <v>100</v>
      </c>
      <c r="W178" s="483">
        <v>1</v>
      </c>
      <c r="X178" s="476">
        <v>0</v>
      </c>
      <c r="Y178" s="476">
        <v>0</v>
      </c>
      <c r="Z178" s="476">
        <v>0</v>
      </c>
      <c r="AA178" s="646" t="s">
        <v>998</v>
      </c>
      <c r="AB178" s="647">
        <f t="shared" si="11"/>
        <v>49</v>
      </c>
      <c r="AC178" s="647">
        <f t="shared" si="12"/>
        <v>10</v>
      </c>
      <c r="AD178" s="648" t="str">
        <f>IF(AB178="","",VLOOKUP(AB178,trancheage[],2,TRUE))</f>
        <v>50 ans et plus</v>
      </c>
      <c r="AE178" s="648" t="str">
        <f>IFERROR(VLOOKUP(AC178,trancheanciennete[],2,TRUE),"")</f>
        <v>3 : 10-14</v>
      </c>
      <c r="AF178" s="649" t="str">
        <f>IF(T178&gt;0,VLOOKUP(T178,Trancheremuneration[],2,TRUE),"")</f>
        <v>2:14 000-17 000</v>
      </c>
      <c r="AG178" s="650">
        <f t="shared" si="13"/>
        <v>25143.769958438315</v>
      </c>
      <c r="AH178" s="631" t="str">
        <f t="shared" si="14"/>
        <v>catégorie 1</v>
      </c>
      <c r="AI178" s="631"/>
    </row>
    <row r="179" spans="1:35" ht="14">
      <c r="A179" t="s">
        <v>760</v>
      </c>
      <c r="B179" s="645" t="s">
        <v>27</v>
      </c>
      <c r="C179" s="651">
        <v>31245</v>
      </c>
      <c r="D179" s="652">
        <v>40153</v>
      </c>
      <c r="E179" s="473" t="s">
        <v>501</v>
      </c>
      <c r="F179" s="1029" t="s">
        <v>3</v>
      </c>
      <c r="G179" s="472" t="s">
        <v>398</v>
      </c>
      <c r="H179" s="472" t="s">
        <v>392</v>
      </c>
      <c r="I179" s="474" t="s">
        <v>23</v>
      </c>
      <c r="J179" s="474" t="s">
        <v>18</v>
      </c>
      <c r="K179" s="475" t="s">
        <v>302</v>
      </c>
      <c r="L179" s="861" t="str">
        <f t="shared" si="10"/>
        <v>salarié</v>
      </c>
      <c r="M179" s="485" t="s">
        <v>42</v>
      </c>
      <c r="N179" s="485" t="s">
        <v>0</v>
      </c>
      <c r="O179" s="486">
        <v>0.8</v>
      </c>
      <c r="P179" s="481" t="s">
        <v>59</v>
      </c>
      <c r="Q179" s="482" t="s">
        <v>32</v>
      </c>
      <c r="R179" s="478">
        <v>0</v>
      </c>
      <c r="S179" s="479">
        <v>0</v>
      </c>
      <c r="T179" s="1">
        <v>30760</v>
      </c>
      <c r="U179" s="656">
        <v>22400.245119768166</v>
      </c>
      <c r="V179" s="479">
        <v>250</v>
      </c>
      <c r="W179" s="483">
        <v>0</v>
      </c>
      <c r="X179" s="476">
        <v>0</v>
      </c>
      <c r="Y179" s="476">
        <v>0</v>
      </c>
      <c r="Z179" s="476">
        <v>0</v>
      </c>
      <c r="AA179" s="646" t="s">
        <v>998</v>
      </c>
      <c r="AB179" s="647">
        <f t="shared" si="11"/>
        <v>35</v>
      </c>
      <c r="AC179" s="647">
        <f t="shared" si="12"/>
        <v>10</v>
      </c>
      <c r="AD179" s="648" t="str">
        <f>IF(AB179="","",VLOOKUP(AB179,trancheage[],2,TRUE))</f>
        <v>30 à 39 ans</v>
      </c>
      <c r="AE179" s="648" t="str">
        <f>IFERROR(VLOOKUP(AC179,trancheanciennete[],2,TRUE),"")</f>
        <v>3 : 10-14</v>
      </c>
      <c r="AF179" s="649" t="str">
        <f>IF(T179&gt;0,VLOOKUP(T179,Trancheremuneration[],2,TRUE),"")</f>
        <v>5 : + de 23 000</v>
      </c>
      <c r="AG179" s="650">
        <f t="shared" si="13"/>
        <v>27130.2941437218</v>
      </c>
      <c r="AH179" s="631" t="str">
        <f t="shared" si="14"/>
        <v>catégorie 1</v>
      </c>
      <c r="AI179" s="631"/>
    </row>
    <row r="180" spans="1:35" ht="14">
      <c r="A180" t="s">
        <v>761</v>
      </c>
      <c r="B180" s="645" t="s">
        <v>27</v>
      </c>
      <c r="C180" s="651">
        <v>30071</v>
      </c>
      <c r="D180" s="652">
        <v>40163</v>
      </c>
      <c r="E180" s="473" t="s">
        <v>505</v>
      </c>
      <c r="F180" s="1029" t="s">
        <v>49</v>
      </c>
      <c r="G180" s="472" t="s">
        <v>399</v>
      </c>
      <c r="H180" s="472" t="s">
        <v>392</v>
      </c>
      <c r="I180" s="474" t="s">
        <v>22</v>
      </c>
      <c r="J180" s="474" t="s">
        <v>28</v>
      </c>
      <c r="K180" s="475" t="s">
        <v>43</v>
      </c>
      <c r="L180" s="861" t="str">
        <f t="shared" si="10"/>
        <v>salarié</v>
      </c>
      <c r="M180" s="485" t="s">
        <v>48</v>
      </c>
      <c r="N180" s="485" t="s">
        <v>1</v>
      </c>
      <c r="O180" s="486">
        <v>0.8</v>
      </c>
      <c r="P180" s="481" t="s">
        <v>59</v>
      </c>
      <c r="Q180" s="482" t="s">
        <v>32</v>
      </c>
      <c r="R180" s="478">
        <v>0</v>
      </c>
      <c r="S180" s="479">
        <v>0</v>
      </c>
      <c r="T180" s="1">
        <v>20320</v>
      </c>
      <c r="U180" s="656">
        <v>33280.696126502342</v>
      </c>
      <c r="V180" s="479">
        <v>500</v>
      </c>
      <c r="W180" s="483">
        <v>0</v>
      </c>
      <c r="X180" s="476">
        <v>1</v>
      </c>
      <c r="Y180" s="476">
        <v>0</v>
      </c>
      <c r="Z180" s="476">
        <v>0</v>
      </c>
      <c r="AA180" s="646" t="s">
        <v>998</v>
      </c>
      <c r="AB180" s="647">
        <f t="shared" si="11"/>
        <v>38</v>
      </c>
      <c r="AC180" s="647">
        <f t="shared" si="12"/>
        <v>10</v>
      </c>
      <c r="AD180" s="648" t="str">
        <f>IF(AB180="","",VLOOKUP(AB180,trancheage[],2,TRUE))</f>
        <v>30 à 39 ans</v>
      </c>
      <c r="AE180" s="648" t="str">
        <f>IFERROR(VLOOKUP(AC180,trancheanciennete[],2,TRUE),"")</f>
        <v>3 : 10-14</v>
      </c>
      <c r="AF180" s="649" t="str">
        <f>IF(T180&gt;0,VLOOKUP(T180,Trancheremuneration[],2,TRUE),"")</f>
        <v>4: 20 000-23 000</v>
      </c>
      <c r="AG180" s="650">
        <f t="shared" si="13"/>
        <v>40436.835351802809</v>
      </c>
      <c r="AH180" s="631" t="str">
        <f t="shared" si="14"/>
        <v>catégorie 1</v>
      </c>
      <c r="AI180" s="631"/>
    </row>
    <row r="181" spans="1:35" ht="14">
      <c r="A181" t="s">
        <v>606</v>
      </c>
      <c r="B181" s="645" t="s">
        <v>47</v>
      </c>
      <c r="C181" s="651">
        <v>32661</v>
      </c>
      <c r="D181" s="652">
        <v>40202</v>
      </c>
      <c r="E181" s="473" t="s">
        <v>501</v>
      </c>
      <c r="F181" s="1029" t="s">
        <v>3</v>
      </c>
      <c r="G181" s="472" t="s">
        <v>395</v>
      </c>
      <c r="H181" s="472" t="s">
        <v>393</v>
      </c>
      <c r="I181" s="474" t="s">
        <v>22</v>
      </c>
      <c r="J181" s="474" t="s">
        <v>28</v>
      </c>
      <c r="K181" s="475" t="s">
        <v>43</v>
      </c>
      <c r="L181" s="861" t="str">
        <f t="shared" si="10"/>
        <v>salarié</v>
      </c>
      <c r="M181" s="485" t="s">
        <v>42</v>
      </c>
      <c r="N181" s="485" t="s">
        <v>1</v>
      </c>
      <c r="O181" s="486">
        <v>1</v>
      </c>
      <c r="P181" s="481" t="s">
        <v>59</v>
      </c>
      <c r="Q181" s="482" t="s">
        <v>30</v>
      </c>
      <c r="R181" s="478">
        <v>0</v>
      </c>
      <c r="S181" s="479">
        <v>14</v>
      </c>
      <c r="T181" s="1">
        <v>30760</v>
      </c>
      <c r="U181" s="656">
        <v>24337.593439781922</v>
      </c>
      <c r="V181" s="479">
        <v>250</v>
      </c>
      <c r="W181" s="483">
        <v>0</v>
      </c>
      <c r="X181" s="476">
        <v>0</v>
      </c>
      <c r="Y181" s="476">
        <v>1</v>
      </c>
      <c r="Z181" s="476">
        <v>0</v>
      </c>
      <c r="AA181" s="646" t="s">
        <v>998</v>
      </c>
      <c r="AB181" s="647">
        <f t="shared" si="11"/>
        <v>31</v>
      </c>
      <c r="AC181" s="647">
        <f t="shared" si="12"/>
        <v>10</v>
      </c>
      <c r="AD181" s="648" t="str">
        <f>IF(AB181="","",VLOOKUP(AB181,trancheage[],2,TRUE))</f>
        <v>30 à 39 ans</v>
      </c>
      <c r="AE181" s="648" t="str">
        <f>IFERROR(VLOOKUP(AC181,trancheanciennete[],2,TRUE),"")</f>
        <v>3 : 10-14</v>
      </c>
      <c r="AF181" s="649" t="str">
        <f>IF(T181&gt;0,VLOOKUP(T181,Trancheremuneration[],2,TRUE),"")</f>
        <v>5 : + de 23 000</v>
      </c>
      <c r="AG181" s="650">
        <f t="shared" si="13"/>
        <v>24587.593439781922</v>
      </c>
      <c r="AH181" s="631" t="str">
        <f t="shared" si="14"/>
        <v>catégorie 2</v>
      </c>
      <c r="AI181" s="631"/>
    </row>
    <row r="182" spans="1:35" ht="14">
      <c r="A182" t="s">
        <v>762</v>
      </c>
      <c r="B182" s="645" t="s">
        <v>27</v>
      </c>
      <c r="C182" s="651">
        <v>26331</v>
      </c>
      <c r="D182" s="652">
        <v>40210</v>
      </c>
      <c r="E182" s="473" t="s">
        <v>501</v>
      </c>
      <c r="F182" s="1029" t="s">
        <v>50</v>
      </c>
      <c r="G182" s="472" t="s">
        <v>395</v>
      </c>
      <c r="H182" s="472" t="s">
        <v>392</v>
      </c>
      <c r="I182" s="474" t="s">
        <v>22</v>
      </c>
      <c r="J182" s="474" t="s">
        <v>28</v>
      </c>
      <c r="K182" s="475" t="s">
        <v>43</v>
      </c>
      <c r="L182" s="861" t="str">
        <f t="shared" si="10"/>
        <v>salarié</v>
      </c>
      <c r="M182" s="485" t="s">
        <v>48</v>
      </c>
      <c r="N182" s="485" t="s">
        <v>1</v>
      </c>
      <c r="O182" s="486">
        <v>1</v>
      </c>
      <c r="P182" s="481" t="s">
        <v>59</v>
      </c>
      <c r="Q182" s="482" t="s">
        <v>33</v>
      </c>
      <c r="R182" s="478">
        <v>1</v>
      </c>
      <c r="S182" s="479">
        <v>14</v>
      </c>
      <c r="T182" s="1">
        <v>22000</v>
      </c>
      <c r="U182" s="656">
        <v>19430.668181131787</v>
      </c>
      <c r="V182" s="479">
        <v>250</v>
      </c>
      <c r="W182" s="483">
        <v>1</v>
      </c>
      <c r="X182" s="476">
        <v>0</v>
      </c>
      <c r="Y182" s="476">
        <v>0</v>
      </c>
      <c r="Z182" s="476">
        <v>0</v>
      </c>
      <c r="AA182" s="646" t="s">
        <v>998</v>
      </c>
      <c r="AB182" s="647">
        <f t="shared" si="11"/>
        <v>48</v>
      </c>
      <c r="AC182" s="647">
        <f t="shared" si="12"/>
        <v>10</v>
      </c>
      <c r="AD182" s="648" t="str">
        <f>IF(AB182="","",VLOOKUP(AB182,trancheage[],2,TRUE))</f>
        <v>40 à 49 ans</v>
      </c>
      <c r="AE182" s="648" t="str">
        <f>IFERROR(VLOOKUP(AC182,trancheanciennete[],2,TRUE),"")</f>
        <v>3 : 10-14</v>
      </c>
      <c r="AF182" s="649" t="str">
        <f>IF(T182&gt;0,VLOOKUP(T182,Trancheremuneration[],2,TRUE),"")</f>
        <v>4: 20 000-23 000</v>
      </c>
      <c r="AG182" s="650">
        <f t="shared" si="13"/>
        <v>19680.668181131787</v>
      </c>
      <c r="AH182" s="631" t="str">
        <f t="shared" si="14"/>
        <v>catégorie 1</v>
      </c>
      <c r="AI182" s="631"/>
    </row>
    <row r="183" spans="1:35" ht="14">
      <c r="A183" t="s">
        <v>763</v>
      </c>
      <c r="B183" s="645" t="s">
        <v>47</v>
      </c>
      <c r="C183" s="651">
        <v>25551</v>
      </c>
      <c r="D183" s="652">
        <v>40218</v>
      </c>
      <c r="E183" s="473" t="s">
        <v>505</v>
      </c>
      <c r="F183" s="1029" t="s">
        <v>3</v>
      </c>
      <c r="G183" s="472" t="s">
        <v>395</v>
      </c>
      <c r="H183" s="472" t="s">
        <v>392</v>
      </c>
      <c r="I183" s="474" t="s">
        <v>22</v>
      </c>
      <c r="J183" s="474" t="s">
        <v>28</v>
      </c>
      <c r="K183" s="475" t="s">
        <v>56</v>
      </c>
      <c r="L183" s="861" t="str">
        <f t="shared" si="10"/>
        <v>salarié</v>
      </c>
      <c r="M183" s="485" t="s">
        <v>48</v>
      </c>
      <c r="N183" s="485" t="s">
        <v>1</v>
      </c>
      <c r="O183" s="486">
        <v>0.5</v>
      </c>
      <c r="P183" s="481" t="s">
        <v>59</v>
      </c>
      <c r="Q183" s="482" t="s">
        <v>31</v>
      </c>
      <c r="R183" s="478">
        <v>0</v>
      </c>
      <c r="S183" s="479">
        <v>0</v>
      </c>
      <c r="T183" s="1">
        <v>17200</v>
      </c>
      <c r="U183" s="656">
        <v>65239.797824614652</v>
      </c>
      <c r="V183" s="479">
        <v>250</v>
      </c>
      <c r="W183" s="483">
        <v>0</v>
      </c>
      <c r="X183" s="476">
        <v>1</v>
      </c>
      <c r="Y183" s="476">
        <v>0</v>
      </c>
      <c r="Z183" s="476">
        <v>0</v>
      </c>
      <c r="AA183" s="646" t="s">
        <v>998</v>
      </c>
      <c r="AB183" s="647">
        <f t="shared" si="11"/>
        <v>50</v>
      </c>
      <c r="AC183" s="647">
        <f t="shared" si="12"/>
        <v>10</v>
      </c>
      <c r="AD183" s="648" t="str">
        <f>IF(AB183="","",VLOOKUP(AB183,trancheage[],2,TRUE))</f>
        <v>50 ans et plus</v>
      </c>
      <c r="AE183" s="648" t="str">
        <f>IFERROR(VLOOKUP(AC183,trancheanciennete[],2,TRUE),"")</f>
        <v>3 : 10-14</v>
      </c>
      <c r="AF183" s="649" t="str">
        <f>IF(T183&gt;0,VLOOKUP(T183,Trancheremuneration[],2,TRUE),"")</f>
        <v>3:17 000-20 000</v>
      </c>
      <c r="AG183" s="650">
        <f t="shared" si="13"/>
        <v>98109.696736921978</v>
      </c>
      <c r="AH183" s="631" t="str">
        <f t="shared" si="14"/>
        <v>catégorie 1</v>
      </c>
      <c r="AI183" s="631"/>
    </row>
    <row r="184" spans="1:35" ht="14">
      <c r="A184" t="s">
        <v>764</v>
      </c>
      <c r="B184" s="645" t="s">
        <v>27</v>
      </c>
      <c r="C184" s="651">
        <v>22343</v>
      </c>
      <c r="D184" s="652">
        <v>40223</v>
      </c>
      <c r="E184" s="473" t="s">
        <v>505</v>
      </c>
      <c r="F184" s="1029" t="s">
        <v>3</v>
      </c>
      <c r="G184" s="472" t="s">
        <v>396</v>
      </c>
      <c r="H184" s="472" t="s">
        <v>392</v>
      </c>
      <c r="I184" s="474" t="s">
        <v>22</v>
      </c>
      <c r="J184" s="474" t="s">
        <v>28</v>
      </c>
      <c r="K184" s="475" t="s">
        <v>35</v>
      </c>
      <c r="L184" s="861" t="str">
        <f t="shared" si="10"/>
        <v>salarié</v>
      </c>
      <c r="M184" s="485" t="s">
        <v>48</v>
      </c>
      <c r="N184" s="485" t="s">
        <v>1</v>
      </c>
      <c r="O184" s="486">
        <v>1</v>
      </c>
      <c r="P184" s="481" t="s">
        <v>59</v>
      </c>
      <c r="Q184" s="482" t="s">
        <v>31</v>
      </c>
      <c r="R184" s="478">
        <v>0</v>
      </c>
      <c r="S184" s="479">
        <v>0</v>
      </c>
      <c r="T184" s="1">
        <v>61000</v>
      </c>
      <c r="U184" s="656">
        <v>16355.195562830715</v>
      </c>
      <c r="V184" s="479">
        <v>250</v>
      </c>
      <c r="W184" s="483">
        <v>0</v>
      </c>
      <c r="X184" s="476">
        <v>1</v>
      </c>
      <c r="Y184" s="476">
        <v>0</v>
      </c>
      <c r="Z184" s="476">
        <v>0</v>
      </c>
      <c r="AA184" s="646" t="s">
        <v>998</v>
      </c>
      <c r="AB184" s="647">
        <f t="shared" si="11"/>
        <v>59</v>
      </c>
      <c r="AC184" s="647">
        <f t="shared" si="12"/>
        <v>10</v>
      </c>
      <c r="AD184" s="648" t="str">
        <f>IF(AB184="","",VLOOKUP(AB184,trancheage[],2,TRUE))</f>
        <v>50 ans et plus</v>
      </c>
      <c r="AE184" s="648" t="str">
        <f>IFERROR(VLOOKUP(AC184,trancheanciennete[],2,TRUE),"")</f>
        <v>3 : 10-14</v>
      </c>
      <c r="AF184" s="649" t="str">
        <f>IF(T184&gt;0,VLOOKUP(T184,Trancheremuneration[],2,TRUE),"")</f>
        <v>5 : + de 23 000</v>
      </c>
      <c r="AG184" s="650">
        <f t="shared" si="13"/>
        <v>16605.195562830715</v>
      </c>
      <c r="AH184" s="631" t="str">
        <f t="shared" si="14"/>
        <v>catégorie 1</v>
      </c>
      <c r="AI184" s="631"/>
    </row>
    <row r="185" spans="1:35" ht="14">
      <c r="A185" t="s">
        <v>580</v>
      </c>
      <c r="B185" s="645" t="s">
        <v>27</v>
      </c>
      <c r="C185" s="651">
        <v>34503</v>
      </c>
      <c r="D185" s="652">
        <v>40254</v>
      </c>
      <c r="E185" s="473" t="s">
        <v>501</v>
      </c>
      <c r="F185" s="1029" t="s">
        <v>3</v>
      </c>
      <c r="G185" s="472" t="s">
        <v>397</v>
      </c>
      <c r="H185" s="472" t="s">
        <v>392</v>
      </c>
      <c r="I185" s="474" t="s">
        <v>22</v>
      </c>
      <c r="J185" s="474" t="s">
        <v>28</v>
      </c>
      <c r="K185" s="475" t="s">
        <v>43</v>
      </c>
      <c r="L185" s="861" t="str">
        <f t="shared" si="10"/>
        <v>salarié</v>
      </c>
      <c r="M185" s="485" t="s">
        <v>48</v>
      </c>
      <c r="N185" s="485" t="s">
        <v>1</v>
      </c>
      <c r="O185" s="486">
        <v>0.8</v>
      </c>
      <c r="P185" s="481" t="s">
        <v>59</v>
      </c>
      <c r="Q185" s="482" t="s">
        <v>30</v>
      </c>
      <c r="R185" s="478">
        <v>1</v>
      </c>
      <c r="S185" s="479">
        <v>21</v>
      </c>
      <c r="T185" s="1">
        <v>19120</v>
      </c>
      <c r="U185" s="656">
        <v>28553.368070922246</v>
      </c>
      <c r="V185" s="479">
        <v>250</v>
      </c>
      <c r="W185" s="483">
        <v>1</v>
      </c>
      <c r="X185" s="476">
        <v>0</v>
      </c>
      <c r="Y185" s="476">
        <v>0</v>
      </c>
      <c r="Z185" s="476">
        <v>0</v>
      </c>
      <c r="AA185" s="646" t="s">
        <v>998</v>
      </c>
      <c r="AB185" s="647">
        <f t="shared" si="11"/>
        <v>26</v>
      </c>
      <c r="AC185" s="647">
        <f t="shared" si="12"/>
        <v>10</v>
      </c>
      <c r="AD185" s="648" t="str">
        <f>IF(AB185="","",VLOOKUP(AB185,trancheage[],2,TRUE))</f>
        <v>Moins de 30 ans</v>
      </c>
      <c r="AE185" s="648" t="str">
        <f>IFERROR(VLOOKUP(AC185,trancheanciennete[],2,TRUE),"")</f>
        <v>3 : 10-14</v>
      </c>
      <c r="AF185" s="649" t="str">
        <f>IF(T185&gt;0,VLOOKUP(T185,Trancheremuneration[],2,TRUE),"")</f>
        <v>3:17 000-20 000</v>
      </c>
      <c r="AG185" s="650">
        <f t="shared" si="13"/>
        <v>34514.041685106691</v>
      </c>
      <c r="AH185" s="631" t="str">
        <f t="shared" si="14"/>
        <v>catégorie 1</v>
      </c>
      <c r="AI185" s="631"/>
    </row>
    <row r="186" spans="1:35" ht="14">
      <c r="A186" t="s">
        <v>765</v>
      </c>
      <c r="B186" s="645" t="s">
        <v>27</v>
      </c>
      <c r="C186" s="651">
        <v>33992</v>
      </c>
      <c r="D186" s="652">
        <v>40254</v>
      </c>
      <c r="E186" s="473" t="s">
        <v>501</v>
      </c>
      <c r="F186" s="1029" t="s">
        <v>3</v>
      </c>
      <c r="G186" s="472" t="s">
        <v>398</v>
      </c>
      <c r="H186" s="472" t="s">
        <v>394</v>
      </c>
      <c r="I186" s="474" t="s">
        <v>22</v>
      </c>
      <c r="J186" s="474" t="s">
        <v>29</v>
      </c>
      <c r="K186" s="475" t="s">
        <v>43</v>
      </c>
      <c r="L186" s="861" t="str">
        <f t="shared" si="10"/>
        <v>salarié</v>
      </c>
      <c r="M186" s="485" t="s">
        <v>48</v>
      </c>
      <c r="N186" s="485" t="s">
        <v>1</v>
      </c>
      <c r="O186" s="486">
        <v>0.8</v>
      </c>
      <c r="P186" s="481" t="s">
        <v>59</v>
      </c>
      <c r="Q186" s="482" t="s">
        <v>32</v>
      </c>
      <c r="R186" s="478">
        <v>0</v>
      </c>
      <c r="S186" s="479">
        <v>0</v>
      </c>
      <c r="T186" s="1">
        <v>34360</v>
      </c>
      <c r="U186" s="656">
        <v>44152.783778367717</v>
      </c>
      <c r="V186" s="479">
        <v>250</v>
      </c>
      <c r="W186" s="483">
        <v>0</v>
      </c>
      <c r="X186" s="476">
        <v>1</v>
      </c>
      <c r="Y186" s="476">
        <v>0</v>
      </c>
      <c r="Z186" s="476">
        <v>0</v>
      </c>
      <c r="AA186" s="646" t="s">
        <v>998</v>
      </c>
      <c r="AB186" s="647">
        <f t="shared" si="11"/>
        <v>27</v>
      </c>
      <c r="AC186" s="647">
        <f t="shared" si="12"/>
        <v>10</v>
      </c>
      <c r="AD186" s="648" t="str">
        <f>IF(AB186="","",VLOOKUP(AB186,trancheage[],2,TRUE))</f>
        <v>Moins de 30 ans</v>
      </c>
      <c r="AE186" s="648" t="str">
        <f>IFERROR(VLOOKUP(AC186,trancheanciennete[],2,TRUE),"")</f>
        <v>3 : 10-14</v>
      </c>
      <c r="AF186" s="649" t="str">
        <f>IF(T186&gt;0,VLOOKUP(T186,Trancheremuneration[],2,TRUE),"")</f>
        <v>5 : + de 23 000</v>
      </c>
      <c r="AG186" s="650">
        <f t="shared" si="13"/>
        <v>53233.340534041257</v>
      </c>
      <c r="AH186" s="631" t="str">
        <f t="shared" si="14"/>
        <v>catégorie 3</v>
      </c>
      <c r="AI186" s="631"/>
    </row>
    <row r="187" spans="1:35" ht="14">
      <c r="A187" t="s">
        <v>766</v>
      </c>
      <c r="B187" s="645" t="s">
        <v>47</v>
      </c>
      <c r="C187" s="651">
        <v>31928</v>
      </c>
      <c r="D187" s="652">
        <v>40279</v>
      </c>
      <c r="E187" s="473" t="s">
        <v>504</v>
      </c>
      <c r="F187" s="1029" t="s">
        <v>50</v>
      </c>
      <c r="G187" s="472" t="s">
        <v>399</v>
      </c>
      <c r="H187" s="472" t="s">
        <v>392</v>
      </c>
      <c r="I187" s="474" t="s">
        <v>22</v>
      </c>
      <c r="J187" s="474" t="s">
        <v>29</v>
      </c>
      <c r="K187" s="475" t="s">
        <v>43</v>
      </c>
      <c r="L187" s="861" t="str">
        <f t="shared" si="10"/>
        <v>salarié</v>
      </c>
      <c r="M187" s="485" t="s">
        <v>48</v>
      </c>
      <c r="N187" s="485" t="s">
        <v>0</v>
      </c>
      <c r="O187" s="484">
        <v>0.8</v>
      </c>
      <c r="P187" s="476" t="s">
        <v>58</v>
      </c>
      <c r="Q187" s="477" t="s">
        <v>30</v>
      </c>
      <c r="R187" s="478">
        <v>0</v>
      </c>
      <c r="S187" s="479">
        <v>7</v>
      </c>
      <c r="T187" s="1">
        <v>51280</v>
      </c>
      <c r="U187" s="656">
        <v>19841.042579528996</v>
      </c>
      <c r="V187" s="479">
        <v>100</v>
      </c>
      <c r="W187" s="483">
        <v>0</v>
      </c>
      <c r="X187" s="476">
        <v>0</v>
      </c>
      <c r="Y187" s="476">
        <v>1</v>
      </c>
      <c r="Z187" s="476">
        <v>0</v>
      </c>
      <c r="AA187" s="646" t="s">
        <v>998</v>
      </c>
      <c r="AB187" s="647">
        <f t="shared" si="11"/>
        <v>33</v>
      </c>
      <c r="AC187" s="647">
        <f t="shared" si="12"/>
        <v>10</v>
      </c>
      <c r="AD187" s="648" t="str">
        <f>IF(AB187="","",VLOOKUP(AB187,trancheage[],2,TRUE))</f>
        <v>30 à 39 ans</v>
      </c>
      <c r="AE187" s="648" t="str">
        <f>IFERROR(VLOOKUP(AC187,trancheanciennete[],2,TRUE),"")</f>
        <v>3 : 10-14</v>
      </c>
      <c r="AF187" s="649" t="str">
        <f>IF(T187&gt;0,VLOOKUP(T187,Trancheremuneration[],2,TRUE),"")</f>
        <v>5 : + de 23 000</v>
      </c>
      <c r="AG187" s="650">
        <f t="shared" si="13"/>
        <v>23909.251095434793</v>
      </c>
      <c r="AH187" s="631" t="str">
        <f t="shared" si="14"/>
        <v>catégorie 1</v>
      </c>
      <c r="AI187" s="631"/>
    </row>
    <row r="188" spans="1:35" ht="14">
      <c r="A188" t="s">
        <v>767</v>
      </c>
      <c r="B188" s="645" t="s">
        <v>27</v>
      </c>
      <c r="C188" s="651">
        <v>33563</v>
      </c>
      <c r="D188" s="652">
        <v>40281</v>
      </c>
      <c r="E188" s="473" t="s">
        <v>501</v>
      </c>
      <c r="F188" s="1029" t="s">
        <v>50</v>
      </c>
      <c r="G188" s="472" t="s">
        <v>395</v>
      </c>
      <c r="H188" s="472" t="s">
        <v>392</v>
      </c>
      <c r="I188" s="474" t="s">
        <v>22</v>
      </c>
      <c r="J188" s="474" t="s">
        <v>29</v>
      </c>
      <c r="K188" s="475" t="s">
        <v>43</v>
      </c>
      <c r="L188" s="861" t="str">
        <f t="shared" si="10"/>
        <v>salarié</v>
      </c>
      <c r="M188" s="485" t="s">
        <v>48</v>
      </c>
      <c r="N188" s="485" t="s">
        <v>0</v>
      </c>
      <c r="O188" s="484">
        <v>0.5</v>
      </c>
      <c r="P188" s="476" t="s">
        <v>58</v>
      </c>
      <c r="Q188" s="477" t="s">
        <v>30</v>
      </c>
      <c r="R188" s="478">
        <v>0</v>
      </c>
      <c r="S188" s="479">
        <v>7</v>
      </c>
      <c r="T188" s="1">
        <v>24280</v>
      </c>
      <c r="U188" s="656">
        <v>8959.0759426308414</v>
      </c>
      <c r="V188" s="479">
        <v>250</v>
      </c>
      <c r="W188" s="483">
        <v>0</v>
      </c>
      <c r="X188" s="476">
        <v>0</v>
      </c>
      <c r="Y188" s="476">
        <v>1</v>
      </c>
      <c r="Z188" s="476">
        <v>0</v>
      </c>
      <c r="AA188" s="646" t="s">
        <v>998</v>
      </c>
      <c r="AB188" s="647">
        <f t="shared" si="11"/>
        <v>28</v>
      </c>
      <c r="AC188" s="647">
        <f t="shared" si="12"/>
        <v>10</v>
      </c>
      <c r="AD188" s="648" t="str">
        <f>IF(AB188="","",VLOOKUP(AB188,trancheage[],2,TRUE))</f>
        <v>Moins de 30 ans</v>
      </c>
      <c r="AE188" s="648" t="str">
        <f>IFERROR(VLOOKUP(AC188,trancheanciennete[],2,TRUE),"")</f>
        <v>3 : 10-14</v>
      </c>
      <c r="AF188" s="649" t="str">
        <f>IF(T188&gt;0,VLOOKUP(T188,Trancheremuneration[],2,TRUE),"")</f>
        <v>5 : + de 23 000</v>
      </c>
      <c r="AG188" s="650">
        <f t="shared" si="13"/>
        <v>13688.613913946261</v>
      </c>
      <c r="AH188" s="631" t="str">
        <f t="shared" si="14"/>
        <v>catégorie 1</v>
      </c>
      <c r="AI188" s="631"/>
    </row>
    <row r="189" spans="1:35" ht="14">
      <c r="A189" t="s">
        <v>584</v>
      </c>
      <c r="B189" s="645" t="s">
        <v>47</v>
      </c>
      <c r="C189" s="651">
        <v>32539</v>
      </c>
      <c r="D189" s="652">
        <v>40308</v>
      </c>
      <c r="E189" s="473" t="s">
        <v>501</v>
      </c>
      <c r="F189" s="1029" t="s">
        <v>3</v>
      </c>
      <c r="G189" s="472" t="s">
        <v>395</v>
      </c>
      <c r="H189" s="472" t="s">
        <v>392</v>
      </c>
      <c r="I189" s="474" t="s">
        <v>23</v>
      </c>
      <c r="J189" s="474" t="s">
        <v>18</v>
      </c>
      <c r="K189" s="475" t="s">
        <v>304</v>
      </c>
      <c r="L189" s="861" t="str">
        <f t="shared" si="10"/>
        <v>salarié</v>
      </c>
      <c r="M189" s="485" t="s">
        <v>48</v>
      </c>
      <c r="N189" s="485" t="s">
        <v>1</v>
      </c>
      <c r="O189" s="486">
        <v>1</v>
      </c>
      <c r="P189" s="481" t="s">
        <v>58</v>
      </c>
      <c r="Q189" s="482" t="s">
        <v>33</v>
      </c>
      <c r="R189" s="478">
        <v>1</v>
      </c>
      <c r="S189" s="479">
        <v>14</v>
      </c>
      <c r="T189" s="1">
        <v>10960</v>
      </c>
      <c r="U189" s="656">
        <v>37366.457711833384</v>
      </c>
      <c r="V189" s="479">
        <v>250</v>
      </c>
      <c r="W189" s="483">
        <v>1</v>
      </c>
      <c r="X189" s="476">
        <v>0</v>
      </c>
      <c r="Y189" s="476">
        <v>0</v>
      </c>
      <c r="Z189" s="476">
        <v>0</v>
      </c>
      <c r="AA189" s="646" t="s">
        <v>998</v>
      </c>
      <c r="AB189" s="647">
        <f t="shared" si="11"/>
        <v>31</v>
      </c>
      <c r="AC189" s="647">
        <f t="shared" si="12"/>
        <v>10</v>
      </c>
      <c r="AD189" s="648" t="str">
        <f>IF(AB189="","",VLOOKUP(AB189,trancheage[],2,TRUE))</f>
        <v>30 à 39 ans</v>
      </c>
      <c r="AE189" s="648" t="str">
        <f>IFERROR(VLOOKUP(AC189,trancheanciennete[],2,TRUE),"")</f>
        <v>3 : 10-14</v>
      </c>
      <c r="AF189" s="649" t="str">
        <f>IF(T189&gt;0,VLOOKUP(T189,Trancheremuneration[],2,TRUE),"")</f>
        <v>1:7 000-14 000</v>
      </c>
      <c r="AG189" s="650">
        <f t="shared" si="13"/>
        <v>37616.457711833384</v>
      </c>
      <c r="AH189" s="631" t="str">
        <f t="shared" si="14"/>
        <v>catégorie 1</v>
      </c>
      <c r="AI189" s="631"/>
    </row>
    <row r="190" spans="1:35" ht="14">
      <c r="A190" t="s">
        <v>768</v>
      </c>
      <c r="B190" s="645" t="s">
        <v>27</v>
      </c>
      <c r="C190" s="651">
        <v>27681</v>
      </c>
      <c r="D190" s="652">
        <v>40313</v>
      </c>
      <c r="E190" s="473" t="s">
        <v>501</v>
      </c>
      <c r="F190" s="1029" t="s">
        <v>3</v>
      </c>
      <c r="G190" s="472" t="s">
        <v>396</v>
      </c>
      <c r="H190" s="472" t="s">
        <v>392</v>
      </c>
      <c r="I190" s="474" t="s">
        <v>22</v>
      </c>
      <c r="J190" s="474" t="s">
        <v>29</v>
      </c>
      <c r="K190" s="475" t="s">
        <v>301</v>
      </c>
      <c r="L190" s="861" t="str">
        <f t="shared" si="10"/>
        <v>salarié</v>
      </c>
      <c r="M190" s="485" t="s">
        <v>48</v>
      </c>
      <c r="N190" s="485" t="s">
        <v>0</v>
      </c>
      <c r="O190" s="486">
        <v>0.8</v>
      </c>
      <c r="P190" s="481" t="s">
        <v>59</v>
      </c>
      <c r="Q190" s="482" t="s">
        <v>31</v>
      </c>
      <c r="R190" s="478">
        <v>1</v>
      </c>
      <c r="S190" s="479">
        <v>7</v>
      </c>
      <c r="T190" s="1">
        <v>41800</v>
      </c>
      <c r="U190" s="656">
        <v>18301.102004723507</v>
      </c>
      <c r="V190" s="479">
        <v>250</v>
      </c>
      <c r="W190" s="483">
        <v>1</v>
      </c>
      <c r="X190" s="476">
        <v>1</v>
      </c>
      <c r="Y190" s="476">
        <v>1</v>
      </c>
      <c r="Z190" s="476">
        <v>0</v>
      </c>
      <c r="AA190" s="646" t="s">
        <v>998</v>
      </c>
      <c r="AB190" s="647">
        <f t="shared" si="11"/>
        <v>44</v>
      </c>
      <c r="AC190" s="647">
        <f t="shared" si="12"/>
        <v>10</v>
      </c>
      <c r="AD190" s="648" t="str">
        <f>IF(AB190="","",VLOOKUP(AB190,trancheage[],2,TRUE))</f>
        <v>40 à 49 ans</v>
      </c>
      <c r="AE190" s="648" t="str">
        <f>IFERROR(VLOOKUP(AC190,trancheanciennete[],2,TRUE),"")</f>
        <v>3 : 10-14</v>
      </c>
      <c r="AF190" s="649" t="str">
        <f>IF(T190&gt;0,VLOOKUP(T190,Trancheremuneration[],2,TRUE),"")</f>
        <v>5 : + de 23 000</v>
      </c>
      <c r="AG190" s="650">
        <f t="shared" si="13"/>
        <v>22211.322405668208</v>
      </c>
      <c r="AH190" s="631" t="str">
        <f t="shared" si="14"/>
        <v>catégorie 1</v>
      </c>
      <c r="AI190" s="631"/>
    </row>
    <row r="191" spans="1:35" ht="14">
      <c r="A191" t="s">
        <v>769</v>
      </c>
      <c r="B191" s="645" t="s">
        <v>27</v>
      </c>
      <c r="C191" s="651">
        <v>32916</v>
      </c>
      <c r="D191" s="652">
        <v>40317</v>
      </c>
      <c r="E191" s="473" t="s">
        <v>504</v>
      </c>
      <c r="F191" s="1029" t="s">
        <v>50</v>
      </c>
      <c r="G191" s="472" t="s">
        <v>395</v>
      </c>
      <c r="H191" s="472" t="s">
        <v>393</v>
      </c>
      <c r="I191" s="474" t="s">
        <v>22</v>
      </c>
      <c r="J191" s="474" t="s">
        <v>29</v>
      </c>
      <c r="K191" s="475" t="s">
        <v>43</v>
      </c>
      <c r="L191" s="861" t="str">
        <f t="shared" si="10"/>
        <v>salarié</v>
      </c>
      <c r="M191" s="485" t="s">
        <v>48</v>
      </c>
      <c r="N191" s="485" t="s">
        <v>0</v>
      </c>
      <c r="O191" s="486">
        <v>1</v>
      </c>
      <c r="P191" s="481" t="s">
        <v>59</v>
      </c>
      <c r="Q191" s="482" t="s">
        <v>30</v>
      </c>
      <c r="R191" s="478">
        <v>0</v>
      </c>
      <c r="S191" s="479">
        <v>7</v>
      </c>
      <c r="T191" s="1">
        <v>18400</v>
      </c>
      <c r="U191" s="656">
        <v>16403.52478845045</v>
      </c>
      <c r="V191" s="479">
        <v>250</v>
      </c>
      <c r="W191" s="483">
        <v>0</v>
      </c>
      <c r="X191" s="476">
        <v>0</v>
      </c>
      <c r="Y191" s="476">
        <v>0</v>
      </c>
      <c r="Z191" s="476">
        <v>1</v>
      </c>
      <c r="AA191" s="646" t="s">
        <v>998</v>
      </c>
      <c r="AB191" s="647">
        <f t="shared" si="11"/>
        <v>30</v>
      </c>
      <c r="AC191" s="647">
        <f t="shared" si="12"/>
        <v>10</v>
      </c>
      <c r="AD191" s="648" t="str">
        <f>IF(AB191="","",VLOOKUP(AB191,trancheage[],2,TRUE))</f>
        <v>30 à 39 ans</v>
      </c>
      <c r="AE191" s="648" t="str">
        <f>IFERROR(VLOOKUP(AC191,trancheanciennete[],2,TRUE),"")</f>
        <v>3 : 10-14</v>
      </c>
      <c r="AF191" s="649" t="str">
        <f>IF(T191&gt;0,VLOOKUP(T191,Trancheremuneration[],2,TRUE),"")</f>
        <v>3:17 000-20 000</v>
      </c>
      <c r="AG191" s="650">
        <f t="shared" si="13"/>
        <v>16653.52478845045</v>
      </c>
      <c r="AH191" s="631" t="str">
        <f t="shared" si="14"/>
        <v>catégorie 2</v>
      </c>
      <c r="AI191" s="631"/>
    </row>
    <row r="192" spans="1:35" ht="14">
      <c r="A192" t="s">
        <v>770</v>
      </c>
      <c r="B192" s="645" t="s">
        <v>47</v>
      </c>
      <c r="C192" s="651">
        <v>27414</v>
      </c>
      <c r="D192" s="652">
        <v>40324</v>
      </c>
      <c r="E192" s="473" t="s">
        <v>503</v>
      </c>
      <c r="F192" s="1029" t="s">
        <v>3</v>
      </c>
      <c r="G192" s="472" t="s">
        <v>397</v>
      </c>
      <c r="H192" s="472" t="s">
        <v>394</v>
      </c>
      <c r="I192" s="474" t="s">
        <v>22</v>
      </c>
      <c r="J192" s="474" t="s">
        <v>29</v>
      </c>
      <c r="K192" s="475" t="s">
        <v>43</v>
      </c>
      <c r="L192" s="861" t="str">
        <f t="shared" si="10"/>
        <v>salarié</v>
      </c>
      <c r="M192" s="485" t="s">
        <v>42</v>
      </c>
      <c r="N192" s="485" t="s">
        <v>1</v>
      </c>
      <c r="O192" s="486">
        <v>1</v>
      </c>
      <c r="P192" s="481" t="s">
        <v>58</v>
      </c>
      <c r="Q192" s="482" t="s">
        <v>30</v>
      </c>
      <c r="R192" s="478">
        <v>0</v>
      </c>
      <c r="S192" s="479">
        <v>7</v>
      </c>
      <c r="T192" s="1">
        <v>20320</v>
      </c>
      <c r="U192" s="656">
        <v>25490.715815212352</v>
      </c>
      <c r="V192" s="479">
        <v>500</v>
      </c>
      <c r="W192" s="483">
        <v>0</v>
      </c>
      <c r="X192" s="476">
        <v>0</v>
      </c>
      <c r="Y192" s="476">
        <v>1</v>
      </c>
      <c r="Z192" s="476">
        <v>1</v>
      </c>
      <c r="AA192" s="646" t="s">
        <v>998</v>
      </c>
      <c r="AB192" s="647">
        <f t="shared" si="11"/>
        <v>45</v>
      </c>
      <c r="AC192" s="647">
        <f t="shared" si="12"/>
        <v>10</v>
      </c>
      <c r="AD192" s="648" t="str">
        <f>IF(AB192="","",VLOOKUP(AB192,trancheage[],2,TRUE))</f>
        <v>40 à 49 ans</v>
      </c>
      <c r="AE192" s="648" t="str">
        <f>IFERROR(VLOOKUP(AC192,trancheanciennete[],2,TRUE),"")</f>
        <v>3 : 10-14</v>
      </c>
      <c r="AF192" s="649" t="str">
        <f>IF(T192&gt;0,VLOOKUP(T192,Trancheremuneration[],2,TRUE),"")</f>
        <v>4: 20 000-23 000</v>
      </c>
      <c r="AG192" s="650">
        <f t="shared" si="13"/>
        <v>25990.715815212352</v>
      </c>
      <c r="AH192" s="631" t="str">
        <f t="shared" si="14"/>
        <v>catégorie 3</v>
      </c>
      <c r="AI192" s="631"/>
    </row>
    <row r="193" spans="1:35" ht="14">
      <c r="A193" t="s">
        <v>771</v>
      </c>
      <c r="B193" s="645" t="s">
        <v>47</v>
      </c>
      <c r="C193" s="651">
        <v>26222</v>
      </c>
      <c r="D193" s="652">
        <v>40366</v>
      </c>
      <c r="E193" s="473" t="s">
        <v>501</v>
      </c>
      <c r="F193" s="1029" t="s">
        <v>3</v>
      </c>
      <c r="G193" s="472" t="s">
        <v>398</v>
      </c>
      <c r="H193" s="472" t="s">
        <v>393</v>
      </c>
      <c r="I193" s="474" t="s">
        <v>23</v>
      </c>
      <c r="J193" s="474" t="s">
        <v>18</v>
      </c>
      <c r="K193" s="475" t="s">
        <v>36</v>
      </c>
      <c r="L193" s="861" t="str">
        <f t="shared" si="10"/>
        <v>salarié</v>
      </c>
      <c r="M193" s="485" t="s">
        <v>48</v>
      </c>
      <c r="N193" s="485" t="s">
        <v>0</v>
      </c>
      <c r="O193" s="486">
        <v>1</v>
      </c>
      <c r="P193" s="481" t="s">
        <v>59</v>
      </c>
      <c r="Q193" s="482" t="s">
        <v>33</v>
      </c>
      <c r="R193" s="478">
        <v>1</v>
      </c>
      <c r="S193" s="479">
        <v>7</v>
      </c>
      <c r="T193" s="1">
        <v>21760</v>
      </c>
      <c r="U193" s="656">
        <v>19351.693647972817</v>
      </c>
      <c r="V193" s="479">
        <v>250</v>
      </c>
      <c r="W193" s="483">
        <v>1</v>
      </c>
      <c r="X193" s="476">
        <v>0</v>
      </c>
      <c r="Y193" s="476">
        <v>1</v>
      </c>
      <c r="Z193" s="476">
        <v>0</v>
      </c>
      <c r="AA193" s="646" t="s">
        <v>998</v>
      </c>
      <c r="AB193" s="647">
        <f t="shared" si="11"/>
        <v>48</v>
      </c>
      <c r="AC193" s="647">
        <f t="shared" si="12"/>
        <v>10</v>
      </c>
      <c r="AD193" s="648" t="str">
        <f>IF(AB193="","",VLOOKUP(AB193,trancheage[],2,TRUE))</f>
        <v>40 à 49 ans</v>
      </c>
      <c r="AE193" s="648" t="str">
        <f>IFERROR(VLOOKUP(AC193,trancheanciennete[],2,TRUE),"")</f>
        <v>3 : 10-14</v>
      </c>
      <c r="AF193" s="649" t="str">
        <f>IF(T193&gt;0,VLOOKUP(T193,Trancheremuneration[],2,TRUE),"")</f>
        <v>4: 20 000-23 000</v>
      </c>
      <c r="AG193" s="650">
        <f t="shared" si="13"/>
        <v>19601.693647972817</v>
      </c>
      <c r="AH193" s="631" t="str">
        <f t="shared" si="14"/>
        <v>catégorie 2</v>
      </c>
      <c r="AI193" s="631"/>
    </row>
    <row r="194" spans="1:35" ht="14">
      <c r="A194" t="s">
        <v>772</v>
      </c>
      <c r="B194" s="645" t="s">
        <v>27</v>
      </c>
      <c r="C194" s="651">
        <v>21455</v>
      </c>
      <c r="D194" s="652">
        <v>40380</v>
      </c>
      <c r="E194" s="473" t="s">
        <v>501</v>
      </c>
      <c r="F194" s="1029" t="s">
        <v>3</v>
      </c>
      <c r="G194" s="472" t="s">
        <v>399</v>
      </c>
      <c r="H194" s="472" t="s">
        <v>394</v>
      </c>
      <c r="I194" s="474" t="s">
        <v>22</v>
      </c>
      <c r="J194" s="474" t="s">
        <v>29</v>
      </c>
      <c r="K194" s="475" t="s">
        <v>43</v>
      </c>
      <c r="L194" s="861" t="str">
        <f t="shared" si="10"/>
        <v>salarié</v>
      </c>
      <c r="M194" s="485" t="s">
        <v>40</v>
      </c>
      <c r="N194" s="485" t="s">
        <v>0</v>
      </c>
      <c r="O194" s="486">
        <v>1</v>
      </c>
      <c r="P194" s="481" t="s">
        <v>58</v>
      </c>
      <c r="Q194" s="482" t="s">
        <v>33</v>
      </c>
      <c r="R194" s="478">
        <v>1</v>
      </c>
      <c r="S194" s="479">
        <v>28</v>
      </c>
      <c r="T194" s="1">
        <v>24280</v>
      </c>
      <c r="U194" s="656">
        <v>40705.97371992001</v>
      </c>
      <c r="V194" s="479">
        <v>250</v>
      </c>
      <c r="W194" s="483">
        <v>1</v>
      </c>
      <c r="X194" s="476">
        <v>0</v>
      </c>
      <c r="Y194" s="476">
        <v>1</v>
      </c>
      <c r="Z194" s="476">
        <v>0</v>
      </c>
      <c r="AA194" s="646" t="s">
        <v>998</v>
      </c>
      <c r="AB194" s="647">
        <f t="shared" si="11"/>
        <v>61</v>
      </c>
      <c r="AC194" s="647">
        <f t="shared" si="12"/>
        <v>10</v>
      </c>
      <c r="AD194" s="648" t="str">
        <f>IF(AB194="","",VLOOKUP(AB194,trancheage[],2,TRUE))</f>
        <v>50 ans et plus</v>
      </c>
      <c r="AE194" s="648" t="str">
        <f>IFERROR(VLOOKUP(AC194,trancheanciennete[],2,TRUE),"")</f>
        <v>3 : 10-14</v>
      </c>
      <c r="AF194" s="649" t="str">
        <f>IF(T194&gt;0,VLOOKUP(T194,Trancheremuneration[],2,TRUE),"")</f>
        <v>5 : + de 23 000</v>
      </c>
      <c r="AG194" s="650">
        <f t="shared" si="13"/>
        <v>40955.97371992001</v>
      </c>
      <c r="AH194" s="631" t="str">
        <f t="shared" si="14"/>
        <v>catégorie 3</v>
      </c>
      <c r="AI194" s="631"/>
    </row>
    <row r="195" spans="1:35" ht="14">
      <c r="A195" t="s">
        <v>773</v>
      </c>
      <c r="B195" s="645" t="s">
        <v>47</v>
      </c>
      <c r="C195" s="651">
        <v>33669</v>
      </c>
      <c r="D195" s="652">
        <v>40416</v>
      </c>
      <c r="E195" s="473" t="s">
        <v>501</v>
      </c>
      <c r="F195" s="1029" t="s">
        <v>50</v>
      </c>
      <c r="G195" s="472" t="s">
        <v>395</v>
      </c>
      <c r="H195" s="472" t="s">
        <v>392</v>
      </c>
      <c r="I195" s="474" t="s">
        <v>22</v>
      </c>
      <c r="J195" s="474" t="s">
        <v>28</v>
      </c>
      <c r="K195" s="475" t="s">
        <v>43</v>
      </c>
      <c r="L195" s="861" t="str">
        <f t="shared" si="10"/>
        <v>salarié</v>
      </c>
      <c r="M195" s="483" t="s">
        <v>48</v>
      </c>
      <c r="N195" s="483" t="s">
        <v>0</v>
      </c>
      <c r="O195" s="486">
        <v>1</v>
      </c>
      <c r="P195" s="481" t="s">
        <v>58</v>
      </c>
      <c r="Q195" s="482" t="s">
        <v>33</v>
      </c>
      <c r="R195" s="478">
        <v>1</v>
      </c>
      <c r="S195" s="479">
        <v>14</v>
      </c>
      <c r="T195" s="1">
        <v>36400</v>
      </c>
      <c r="U195" s="656">
        <v>21482.696396953514</v>
      </c>
      <c r="V195" s="479">
        <v>250</v>
      </c>
      <c r="W195" s="483">
        <v>1</v>
      </c>
      <c r="X195" s="476">
        <v>0</v>
      </c>
      <c r="Y195" s="476">
        <v>0</v>
      </c>
      <c r="Z195" s="476">
        <v>0</v>
      </c>
      <c r="AA195" s="646" t="s">
        <v>998</v>
      </c>
      <c r="AB195" s="647">
        <f t="shared" si="11"/>
        <v>28</v>
      </c>
      <c r="AC195" s="647">
        <f t="shared" si="12"/>
        <v>10</v>
      </c>
      <c r="AD195" s="648" t="str">
        <f>IF(AB195="","",VLOOKUP(AB195,trancheage[],2,TRUE))</f>
        <v>Moins de 30 ans</v>
      </c>
      <c r="AE195" s="648" t="str">
        <f>IFERROR(VLOOKUP(AC195,trancheanciennete[],2,TRUE),"")</f>
        <v>3 : 10-14</v>
      </c>
      <c r="AF195" s="649" t="str">
        <f>IF(T195&gt;0,VLOOKUP(T195,Trancheremuneration[],2,TRUE),"")</f>
        <v>5 : + de 23 000</v>
      </c>
      <c r="AG195" s="650">
        <f t="shared" si="13"/>
        <v>21732.696396953514</v>
      </c>
      <c r="AH195" s="631" t="str">
        <f t="shared" si="14"/>
        <v>catégorie 1</v>
      </c>
      <c r="AI195" s="631"/>
    </row>
    <row r="196" spans="1:35" ht="14">
      <c r="A196" t="s">
        <v>774</v>
      </c>
      <c r="B196" s="645" t="s">
        <v>27</v>
      </c>
      <c r="C196" s="651">
        <v>33757</v>
      </c>
      <c r="D196" s="652">
        <v>40442</v>
      </c>
      <c r="E196" s="473" t="s">
        <v>502</v>
      </c>
      <c r="F196" s="1029" t="s">
        <v>3</v>
      </c>
      <c r="G196" s="472" t="s">
        <v>395</v>
      </c>
      <c r="H196" s="472" t="s">
        <v>392</v>
      </c>
      <c r="I196" s="474" t="s">
        <v>22</v>
      </c>
      <c r="J196" s="474" t="s">
        <v>28</v>
      </c>
      <c r="K196" s="475" t="s">
        <v>43</v>
      </c>
      <c r="L196" s="861" t="str">
        <f t="shared" si="10"/>
        <v>salarié</v>
      </c>
      <c r="M196" s="483" t="s">
        <v>48</v>
      </c>
      <c r="N196" s="483" t="s">
        <v>0</v>
      </c>
      <c r="O196" s="486">
        <v>1</v>
      </c>
      <c r="P196" s="481" t="s">
        <v>58</v>
      </c>
      <c r="Q196" s="482" t="s">
        <v>31</v>
      </c>
      <c r="R196" s="478">
        <v>0</v>
      </c>
      <c r="S196" s="479">
        <v>7</v>
      </c>
      <c r="T196" s="1">
        <v>19600</v>
      </c>
      <c r="U196" s="656">
        <v>55231.13249129249</v>
      </c>
      <c r="V196" s="479">
        <v>500</v>
      </c>
      <c r="W196" s="483">
        <v>0</v>
      </c>
      <c r="X196" s="476">
        <v>1</v>
      </c>
      <c r="Y196" s="476">
        <v>0</v>
      </c>
      <c r="Z196" s="476">
        <v>0</v>
      </c>
      <c r="AA196" s="646" t="s">
        <v>998</v>
      </c>
      <c r="AB196" s="647">
        <f t="shared" si="11"/>
        <v>28</v>
      </c>
      <c r="AC196" s="647">
        <f t="shared" si="12"/>
        <v>9</v>
      </c>
      <c r="AD196" s="648" t="str">
        <f>IF(AB196="","",VLOOKUP(AB196,trancheage[],2,TRUE))</f>
        <v>Moins de 30 ans</v>
      </c>
      <c r="AE196" s="648" t="str">
        <f>IFERROR(VLOOKUP(AC196,trancheanciennete[],2,TRUE),"")</f>
        <v>3 : 10-14</v>
      </c>
      <c r="AF196" s="649" t="str">
        <f>IF(T196&gt;0,VLOOKUP(T196,Trancheremuneration[],2,TRUE),"")</f>
        <v>3:17 000-20 000</v>
      </c>
      <c r="AG196" s="650">
        <f t="shared" si="13"/>
        <v>55731.13249129249</v>
      </c>
      <c r="AH196" s="631" t="str">
        <f t="shared" si="14"/>
        <v>catégorie 1</v>
      </c>
      <c r="AI196" s="631"/>
    </row>
    <row r="197" spans="1:35" ht="14">
      <c r="A197" t="s">
        <v>775</v>
      </c>
      <c r="B197" s="645" t="s">
        <v>47</v>
      </c>
      <c r="C197" s="651">
        <v>28131</v>
      </c>
      <c r="D197" s="652">
        <v>40450</v>
      </c>
      <c r="E197" s="473" t="s">
        <v>505</v>
      </c>
      <c r="F197" s="1029" t="s">
        <v>50</v>
      </c>
      <c r="G197" s="472" t="s">
        <v>396</v>
      </c>
      <c r="H197" s="472" t="s">
        <v>394</v>
      </c>
      <c r="I197" s="474" t="s">
        <v>23</v>
      </c>
      <c r="J197" s="474" t="s">
        <v>18</v>
      </c>
      <c r="K197" s="475" t="s">
        <v>306</v>
      </c>
      <c r="L197" s="861" t="str">
        <f t="shared" si="10"/>
        <v>salarié</v>
      </c>
      <c r="M197" s="485" t="s">
        <v>48</v>
      </c>
      <c r="N197" s="485" t="s">
        <v>0</v>
      </c>
      <c r="O197" s="486">
        <v>1</v>
      </c>
      <c r="P197" s="481" t="s">
        <v>58</v>
      </c>
      <c r="Q197" s="482" t="s">
        <v>31</v>
      </c>
      <c r="R197" s="478">
        <v>1</v>
      </c>
      <c r="S197" s="479">
        <v>0</v>
      </c>
      <c r="T197" s="1">
        <v>49840</v>
      </c>
      <c r="U197" s="656">
        <v>28565.104428200088</v>
      </c>
      <c r="V197" s="479">
        <v>500</v>
      </c>
      <c r="W197" s="483">
        <v>1</v>
      </c>
      <c r="X197" s="476">
        <v>1</v>
      </c>
      <c r="Y197" s="476">
        <v>0</v>
      </c>
      <c r="Z197" s="476">
        <v>0</v>
      </c>
      <c r="AA197" s="646" t="s">
        <v>998</v>
      </c>
      <c r="AB197" s="647">
        <f t="shared" si="11"/>
        <v>43</v>
      </c>
      <c r="AC197" s="647">
        <f t="shared" si="12"/>
        <v>9</v>
      </c>
      <c r="AD197" s="648" t="str">
        <f>IF(AB197="","",VLOOKUP(AB197,trancheage[],2,TRUE))</f>
        <v>40 à 49 ans</v>
      </c>
      <c r="AE197" s="648" t="str">
        <f>IFERROR(VLOOKUP(AC197,trancheanciennete[],2,TRUE),"")</f>
        <v>3 : 10-14</v>
      </c>
      <c r="AF197" s="649" t="str">
        <f>IF(T197&gt;0,VLOOKUP(T197,Trancheremuneration[],2,TRUE),"")</f>
        <v>5 : + de 23 000</v>
      </c>
      <c r="AG197" s="650">
        <f t="shared" si="13"/>
        <v>29065.104428200088</v>
      </c>
      <c r="AH197" s="631" t="str">
        <f t="shared" si="14"/>
        <v>catégorie 3</v>
      </c>
      <c r="AI197" s="631"/>
    </row>
    <row r="198" spans="1:35" ht="14">
      <c r="A198" t="s">
        <v>776</v>
      </c>
      <c r="B198" s="645" t="s">
        <v>27</v>
      </c>
      <c r="C198" s="651">
        <v>23487</v>
      </c>
      <c r="D198" s="652">
        <v>40455</v>
      </c>
      <c r="E198" s="473" t="s">
        <v>501</v>
      </c>
      <c r="F198" s="1029" t="s">
        <v>50</v>
      </c>
      <c r="G198" s="472" t="s">
        <v>396</v>
      </c>
      <c r="H198" s="472" t="s">
        <v>392</v>
      </c>
      <c r="I198" s="474" t="s">
        <v>22</v>
      </c>
      <c r="J198" s="474" t="s">
        <v>28</v>
      </c>
      <c r="K198" s="475" t="s">
        <v>43</v>
      </c>
      <c r="L198" s="861" t="str">
        <f t="shared" si="10"/>
        <v>salarié</v>
      </c>
      <c r="M198" s="483" t="s">
        <v>48</v>
      </c>
      <c r="N198" s="483" t="s">
        <v>0</v>
      </c>
      <c r="O198" s="486">
        <v>0.8</v>
      </c>
      <c r="P198" s="481" t="s">
        <v>59</v>
      </c>
      <c r="Q198" s="482" t="s">
        <v>32</v>
      </c>
      <c r="R198" s="478">
        <v>0</v>
      </c>
      <c r="S198" s="479">
        <v>0</v>
      </c>
      <c r="T198" s="1">
        <v>25000</v>
      </c>
      <c r="U198" s="656">
        <v>22153.990747239281</v>
      </c>
      <c r="V198" s="479">
        <v>250</v>
      </c>
      <c r="W198" s="483">
        <v>0</v>
      </c>
      <c r="X198" s="476">
        <v>0</v>
      </c>
      <c r="Y198" s="476">
        <v>0</v>
      </c>
      <c r="Z198" s="476">
        <v>0</v>
      </c>
      <c r="AA198" s="646" t="s">
        <v>998</v>
      </c>
      <c r="AB198" s="647">
        <f t="shared" si="11"/>
        <v>56</v>
      </c>
      <c r="AC198" s="647">
        <f t="shared" si="12"/>
        <v>9</v>
      </c>
      <c r="AD198" s="648" t="str">
        <f>IF(AB198="","",VLOOKUP(AB198,trancheage[],2,TRUE))</f>
        <v>50 ans et plus</v>
      </c>
      <c r="AE198" s="648" t="str">
        <f>IFERROR(VLOOKUP(AC198,trancheanciennete[],2,TRUE),"")</f>
        <v>3 : 10-14</v>
      </c>
      <c r="AF198" s="649" t="str">
        <f>IF(T198&gt;0,VLOOKUP(T198,Trancheremuneration[],2,TRUE),"")</f>
        <v>5 : + de 23 000</v>
      </c>
      <c r="AG198" s="650">
        <f t="shared" si="13"/>
        <v>26834.788896687136</v>
      </c>
      <c r="AH198" s="631" t="str">
        <f t="shared" si="14"/>
        <v>catégorie 1</v>
      </c>
      <c r="AI198" s="631"/>
    </row>
    <row r="199" spans="1:35" ht="14">
      <c r="A199" t="s">
        <v>777</v>
      </c>
      <c r="B199" s="645" t="s">
        <v>27</v>
      </c>
      <c r="C199" s="651">
        <v>30933</v>
      </c>
      <c r="D199" s="652">
        <v>40485</v>
      </c>
      <c r="E199" s="473" t="s">
        <v>501</v>
      </c>
      <c r="F199" s="1029" t="s">
        <v>3</v>
      </c>
      <c r="G199" s="472" t="s">
        <v>397</v>
      </c>
      <c r="H199" s="472" t="s">
        <v>392</v>
      </c>
      <c r="I199" s="474" t="s">
        <v>23</v>
      </c>
      <c r="J199" s="474" t="s">
        <v>18</v>
      </c>
      <c r="K199" s="475" t="s">
        <v>11</v>
      </c>
      <c r="L199" s="861" t="str">
        <f t="shared" si="10"/>
        <v>salarié</v>
      </c>
      <c r="M199" s="485" t="s">
        <v>48</v>
      </c>
      <c r="N199" s="485" t="s">
        <v>0</v>
      </c>
      <c r="O199" s="486">
        <v>0.8</v>
      </c>
      <c r="P199" s="481" t="s">
        <v>59</v>
      </c>
      <c r="Q199" s="482" t="s">
        <v>32</v>
      </c>
      <c r="R199" s="478">
        <v>0</v>
      </c>
      <c r="S199" s="479">
        <v>0</v>
      </c>
      <c r="T199" s="1">
        <v>22720</v>
      </c>
      <c r="U199" s="656">
        <v>29615.722811342021</v>
      </c>
      <c r="V199" s="479">
        <v>250</v>
      </c>
      <c r="W199" s="483">
        <v>0</v>
      </c>
      <c r="X199" s="476">
        <v>1</v>
      </c>
      <c r="Y199" s="476">
        <v>0</v>
      </c>
      <c r="Z199" s="476">
        <v>0</v>
      </c>
      <c r="AA199" s="646" t="s">
        <v>998</v>
      </c>
      <c r="AB199" s="647">
        <f t="shared" si="11"/>
        <v>35</v>
      </c>
      <c r="AC199" s="647">
        <f t="shared" si="12"/>
        <v>9</v>
      </c>
      <c r="AD199" s="648" t="str">
        <f>IF(AB199="","",VLOOKUP(AB199,trancheage[],2,TRUE))</f>
        <v>30 à 39 ans</v>
      </c>
      <c r="AE199" s="648" t="str">
        <f>IFERROR(VLOOKUP(AC199,trancheanciennete[],2,TRUE),"")</f>
        <v>3 : 10-14</v>
      </c>
      <c r="AF199" s="649" t="str">
        <f>IF(T199&gt;0,VLOOKUP(T199,Trancheremuneration[],2,TRUE),"")</f>
        <v>4: 20 000-23 000</v>
      </c>
      <c r="AG199" s="650">
        <f t="shared" si="13"/>
        <v>35788.867373610425</v>
      </c>
      <c r="AH199" s="631" t="str">
        <f t="shared" si="14"/>
        <v>catégorie 1</v>
      </c>
      <c r="AI199" s="631"/>
    </row>
    <row r="200" spans="1:35" ht="14">
      <c r="A200" t="s">
        <v>778</v>
      </c>
      <c r="B200" s="645" t="s">
        <v>27</v>
      </c>
      <c r="C200" s="651">
        <v>27043</v>
      </c>
      <c r="D200" s="652">
        <v>40497</v>
      </c>
      <c r="E200" s="473" t="s">
        <v>505</v>
      </c>
      <c r="F200" s="1029" t="s">
        <v>3</v>
      </c>
      <c r="G200" s="472" t="s">
        <v>398</v>
      </c>
      <c r="H200" s="472" t="s">
        <v>392</v>
      </c>
      <c r="I200" s="474" t="s">
        <v>23</v>
      </c>
      <c r="J200" s="474" t="s">
        <v>18</v>
      </c>
      <c r="K200" s="475" t="s">
        <v>44</v>
      </c>
      <c r="L200" s="861" t="str">
        <f t="shared" si="10"/>
        <v>salarié</v>
      </c>
      <c r="M200" s="485" t="s">
        <v>42</v>
      </c>
      <c r="N200" s="485" t="s">
        <v>0</v>
      </c>
      <c r="O200" s="486">
        <v>1</v>
      </c>
      <c r="P200" s="481" t="s">
        <v>59</v>
      </c>
      <c r="Q200" s="482" t="s">
        <v>30</v>
      </c>
      <c r="R200" s="478">
        <v>0</v>
      </c>
      <c r="S200" s="479">
        <v>14</v>
      </c>
      <c r="T200" s="1">
        <v>34720</v>
      </c>
      <c r="U200" s="656">
        <v>63297.413159511823</v>
      </c>
      <c r="V200" s="479">
        <v>250</v>
      </c>
      <c r="W200" s="483">
        <v>0</v>
      </c>
      <c r="X200" s="476">
        <v>0</v>
      </c>
      <c r="Y200" s="476">
        <v>1</v>
      </c>
      <c r="Z200" s="476">
        <v>0</v>
      </c>
      <c r="AA200" s="646" t="s">
        <v>998</v>
      </c>
      <c r="AB200" s="647">
        <f t="shared" si="11"/>
        <v>46</v>
      </c>
      <c r="AC200" s="647">
        <f t="shared" si="12"/>
        <v>9</v>
      </c>
      <c r="AD200" s="648" t="str">
        <f>IF(AB200="","",VLOOKUP(AB200,trancheage[],2,TRUE))</f>
        <v>40 à 49 ans</v>
      </c>
      <c r="AE200" s="648" t="str">
        <f>IFERROR(VLOOKUP(AC200,trancheanciennete[],2,TRUE),"")</f>
        <v>3 : 10-14</v>
      </c>
      <c r="AF200" s="649" t="str">
        <f>IF(T200&gt;0,VLOOKUP(T200,Trancheremuneration[],2,TRUE),"")</f>
        <v>5 : + de 23 000</v>
      </c>
      <c r="AG200" s="650">
        <f t="shared" si="13"/>
        <v>63547.413159511823</v>
      </c>
      <c r="AH200" s="631" t="str">
        <f t="shared" si="14"/>
        <v>catégorie 1</v>
      </c>
      <c r="AI200" s="631"/>
    </row>
    <row r="201" spans="1:35" ht="14">
      <c r="A201" t="s">
        <v>779</v>
      </c>
      <c r="B201" s="645" t="s">
        <v>27</v>
      </c>
      <c r="C201" s="651">
        <v>23791</v>
      </c>
      <c r="D201" s="652">
        <v>40529</v>
      </c>
      <c r="E201" s="473" t="s">
        <v>501</v>
      </c>
      <c r="F201" s="1029" t="s">
        <v>3</v>
      </c>
      <c r="G201" s="472" t="s">
        <v>399</v>
      </c>
      <c r="H201" s="472" t="s">
        <v>392</v>
      </c>
      <c r="I201" s="474" t="s">
        <v>22</v>
      </c>
      <c r="J201" s="474" t="s">
        <v>28</v>
      </c>
      <c r="K201" s="475" t="s">
        <v>43</v>
      </c>
      <c r="L201" s="861" t="str">
        <f t="shared" si="10"/>
        <v>salarié</v>
      </c>
      <c r="M201" s="485" t="s">
        <v>48</v>
      </c>
      <c r="N201" s="485" t="s">
        <v>1</v>
      </c>
      <c r="O201" s="486">
        <v>0.8</v>
      </c>
      <c r="P201" s="481" t="s">
        <v>59</v>
      </c>
      <c r="Q201" s="482" t="s">
        <v>30</v>
      </c>
      <c r="R201" s="478">
        <v>0</v>
      </c>
      <c r="S201" s="479">
        <v>14</v>
      </c>
      <c r="T201" s="1">
        <v>61000</v>
      </c>
      <c r="U201" s="656">
        <v>34396.47936039092</v>
      </c>
      <c r="V201" s="479">
        <v>250</v>
      </c>
      <c r="W201" s="483">
        <v>0</v>
      </c>
      <c r="X201" s="476">
        <v>0</v>
      </c>
      <c r="Y201" s="476">
        <v>0</v>
      </c>
      <c r="Z201" s="476">
        <v>0</v>
      </c>
      <c r="AA201" s="646" t="s">
        <v>998</v>
      </c>
      <c r="AB201" s="647">
        <f t="shared" si="11"/>
        <v>55</v>
      </c>
      <c r="AC201" s="647">
        <f t="shared" si="12"/>
        <v>9</v>
      </c>
      <c r="AD201" s="648" t="str">
        <f>IF(AB201="","",VLOOKUP(AB201,trancheage[],2,TRUE))</f>
        <v>50 ans et plus</v>
      </c>
      <c r="AE201" s="648" t="str">
        <f>IFERROR(VLOOKUP(AC201,trancheanciennete[],2,TRUE),"")</f>
        <v>3 : 10-14</v>
      </c>
      <c r="AF201" s="649" t="str">
        <f>IF(T201&gt;0,VLOOKUP(T201,Trancheremuneration[],2,TRUE),"")</f>
        <v>5 : + de 23 000</v>
      </c>
      <c r="AG201" s="650">
        <f t="shared" si="13"/>
        <v>41525.775232469103</v>
      </c>
      <c r="AH201" s="631" t="str">
        <f t="shared" si="14"/>
        <v>catégorie 1</v>
      </c>
      <c r="AI201" s="631"/>
    </row>
    <row r="202" spans="1:35" ht="14">
      <c r="A202" t="s">
        <v>780</v>
      </c>
      <c r="B202" s="645" t="s">
        <v>47</v>
      </c>
      <c r="C202" s="651">
        <v>34576</v>
      </c>
      <c r="D202" s="652">
        <v>40602</v>
      </c>
      <c r="E202" s="473" t="s">
        <v>501</v>
      </c>
      <c r="F202" s="1029" t="s">
        <v>50</v>
      </c>
      <c r="G202" s="472" t="s">
        <v>397</v>
      </c>
      <c r="H202" s="472" t="s">
        <v>392</v>
      </c>
      <c r="I202" s="474" t="s">
        <v>22</v>
      </c>
      <c r="J202" s="474" t="s">
        <v>28</v>
      </c>
      <c r="K202" s="475" t="s">
        <v>43</v>
      </c>
      <c r="L202" s="861" t="str">
        <f t="shared" si="10"/>
        <v>salarié</v>
      </c>
      <c r="M202" s="485" t="s">
        <v>42</v>
      </c>
      <c r="N202" s="485" t="s">
        <v>1</v>
      </c>
      <c r="O202" s="486">
        <v>0.5</v>
      </c>
      <c r="P202" s="481" t="s">
        <v>59</v>
      </c>
      <c r="Q202" s="482" t="s">
        <v>31</v>
      </c>
      <c r="R202" s="478">
        <v>0</v>
      </c>
      <c r="S202" s="479">
        <v>0</v>
      </c>
      <c r="T202" s="1">
        <v>28600</v>
      </c>
      <c r="U202" s="656">
        <v>31455.664534208503</v>
      </c>
      <c r="V202" s="479">
        <v>250</v>
      </c>
      <c r="W202" s="483">
        <v>0</v>
      </c>
      <c r="X202" s="476">
        <v>1</v>
      </c>
      <c r="Y202" s="476">
        <v>0</v>
      </c>
      <c r="Z202" s="476">
        <v>0</v>
      </c>
      <c r="AA202" s="646" t="s">
        <v>998</v>
      </c>
      <c r="AB202" s="647">
        <f t="shared" si="11"/>
        <v>26</v>
      </c>
      <c r="AC202" s="647">
        <f t="shared" si="12"/>
        <v>9</v>
      </c>
      <c r="AD202" s="648" t="str">
        <f>IF(AB202="","",VLOOKUP(AB202,trancheage[],2,TRUE))</f>
        <v>Moins de 30 ans</v>
      </c>
      <c r="AE202" s="648" t="str">
        <f>IFERROR(VLOOKUP(AC202,trancheanciennete[],2,TRUE),"")</f>
        <v>3 : 10-14</v>
      </c>
      <c r="AF202" s="649" t="str">
        <f>IF(T202&gt;0,VLOOKUP(T202,Trancheremuneration[],2,TRUE),"")</f>
        <v>5 : + de 23 000</v>
      </c>
      <c r="AG202" s="650">
        <f t="shared" si="13"/>
        <v>47433.496801312751</v>
      </c>
      <c r="AH202" s="631" t="str">
        <f t="shared" si="14"/>
        <v>catégorie 1</v>
      </c>
      <c r="AI202" s="631"/>
    </row>
    <row r="203" spans="1:35" ht="14">
      <c r="A203" t="s">
        <v>781</v>
      </c>
      <c r="B203" s="645" t="s">
        <v>47</v>
      </c>
      <c r="C203" s="651">
        <v>34585</v>
      </c>
      <c r="D203" s="652">
        <v>40616</v>
      </c>
      <c r="E203" s="473" t="s">
        <v>501</v>
      </c>
      <c r="F203" s="1029" t="s">
        <v>3</v>
      </c>
      <c r="G203" s="472" t="s">
        <v>398</v>
      </c>
      <c r="H203" s="472" t="s">
        <v>392</v>
      </c>
      <c r="I203" s="474" t="s">
        <v>22</v>
      </c>
      <c r="J203" s="474" t="s">
        <v>28</v>
      </c>
      <c r="K203" s="475" t="s">
        <v>43</v>
      </c>
      <c r="L203" s="861" t="str">
        <f t="shared" si="10"/>
        <v>salarié</v>
      </c>
      <c r="M203" s="485" t="s">
        <v>48</v>
      </c>
      <c r="N203" s="485" t="s">
        <v>1</v>
      </c>
      <c r="O203" s="486">
        <v>1</v>
      </c>
      <c r="P203" s="481" t="s">
        <v>59</v>
      </c>
      <c r="Q203" s="482" t="s">
        <v>31</v>
      </c>
      <c r="R203" s="478">
        <v>0</v>
      </c>
      <c r="S203" s="479">
        <v>0</v>
      </c>
      <c r="T203" s="1">
        <v>37840</v>
      </c>
      <c r="U203" s="656">
        <v>25871.461468719062</v>
      </c>
      <c r="V203" s="479">
        <v>100</v>
      </c>
      <c r="W203" s="483">
        <v>0</v>
      </c>
      <c r="X203" s="476">
        <v>1</v>
      </c>
      <c r="Y203" s="476">
        <v>0</v>
      </c>
      <c r="Z203" s="476">
        <v>0</v>
      </c>
      <c r="AA203" s="646" t="s">
        <v>998</v>
      </c>
      <c r="AB203" s="647">
        <f t="shared" si="11"/>
        <v>25</v>
      </c>
      <c r="AC203" s="647">
        <f t="shared" si="12"/>
        <v>9</v>
      </c>
      <c r="AD203" s="648" t="str">
        <f>IF(AB203="","",VLOOKUP(AB203,trancheage[],2,TRUE))</f>
        <v>Moins de 30 ans</v>
      </c>
      <c r="AE203" s="648" t="str">
        <f>IFERROR(VLOOKUP(AC203,trancheanciennete[],2,TRUE),"")</f>
        <v>3 : 10-14</v>
      </c>
      <c r="AF203" s="649" t="str">
        <f>IF(T203&gt;0,VLOOKUP(T203,Trancheremuneration[],2,TRUE),"")</f>
        <v>5 : + de 23 000</v>
      </c>
      <c r="AG203" s="650">
        <f t="shared" si="13"/>
        <v>25971.461468719062</v>
      </c>
      <c r="AH203" s="631" t="str">
        <f t="shared" si="14"/>
        <v>catégorie 1</v>
      </c>
      <c r="AI203" s="631"/>
    </row>
    <row r="204" spans="1:35" ht="14">
      <c r="A204" t="s">
        <v>782</v>
      </c>
      <c r="B204" s="645" t="s">
        <v>27</v>
      </c>
      <c r="C204" s="651">
        <v>34563</v>
      </c>
      <c r="D204" s="652">
        <v>40646</v>
      </c>
      <c r="E204" s="473" t="s">
        <v>505</v>
      </c>
      <c r="F204" s="1029" t="s">
        <v>3</v>
      </c>
      <c r="G204" s="472" t="s">
        <v>395</v>
      </c>
      <c r="H204" s="472" t="s">
        <v>392</v>
      </c>
      <c r="I204" s="474" t="s">
        <v>22</v>
      </c>
      <c r="J204" s="474" t="s">
        <v>28</v>
      </c>
      <c r="K204" s="475" t="s">
        <v>56</v>
      </c>
      <c r="L204" s="861" t="str">
        <f t="shared" si="10"/>
        <v>salarié</v>
      </c>
      <c r="M204" s="485" t="s">
        <v>48</v>
      </c>
      <c r="N204" s="485" t="s">
        <v>1</v>
      </c>
      <c r="O204" s="486">
        <v>0.8</v>
      </c>
      <c r="P204" s="481" t="s">
        <v>59</v>
      </c>
      <c r="Q204" s="482" t="s">
        <v>30</v>
      </c>
      <c r="R204" s="478">
        <v>1</v>
      </c>
      <c r="S204" s="479">
        <v>21</v>
      </c>
      <c r="T204" s="1">
        <v>23440</v>
      </c>
      <c r="U204" s="656">
        <v>35783.501524842031</v>
      </c>
      <c r="V204" s="479">
        <v>250</v>
      </c>
      <c r="W204" s="483">
        <v>1</v>
      </c>
      <c r="X204" s="476">
        <v>0</v>
      </c>
      <c r="Y204" s="476">
        <v>0</v>
      </c>
      <c r="Z204" s="476">
        <v>0</v>
      </c>
      <c r="AA204" s="646" t="s">
        <v>998</v>
      </c>
      <c r="AB204" s="647">
        <f t="shared" si="11"/>
        <v>26</v>
      </c>
      <c r="AC204" s="647">
        <f t="shared" si="12"/>
        <v>9</v>
      </c>
      <c r="AD204" s="648" t="str">
        <f>IF(AB204="","",VLOOKUP(AB204,trancheage[],2,TRUE))</f>
        <v>Moins de 30 ans</v>
      </c>
      <c r="AE204" s="648" t="str">
        <f>IFERROR(VLOOKUP(AC204,trancheanciennete[],2,TRUE),"")</f>
        <v>3 : 10-14</v>
      </c>
      <c r="AF204" s="649" t="str">
        <f>IF(T204&gt;0,VLOOKUP(T204,Trancheremuneration[],2,TRUE),"")</f>
        <v>5 : + de 23 000</v>
      </c>
      <c r="AG204" s="650">
        <f t="shared" si="13"/>
        <v>43190.201829810438</v>
      </c>
      <c r="AH204" s="631" t="str">
        <f t="shared" si="14"/>
        <v>catégorie 1</v>
      </c>
      <c r="AI204" s="631"/>
    </row>
    <row r="205" spans="1:35" ht="14">
      <c r="A205" t="s">
        <v>600</v>
      </c>
      <c r="B205" s="645" t="s">
        <v>27</v>
      </c>
      <c r="C205" s="651">
        <v>22513</v>
      </c>
      <c r="D205" s="652">
        <v>40655</v>
      </c>
      <c r="E205" s="473" t="s">
        <v>504</v>
      </c>
      <c r="F205" s="1029" t="s">
        <v>3</v>
      </c>
      <c r="G205" s="472" t="s">
        <v>395</v>
      </c>
      <c r="H205" s="472" t="s">
        <v>392</v>
      </c>
      <c r="I205" s="474" t="s">
        <v>22</v>
      </c>
      <c r="J205" s="474" t="s">
        <v>28</v>
      </c>
      <c r="K205" s="475" t="s">
        <v>35</v>
      </c>
      <c r="L205" s="861" t="str">
        <f t="shared" si="10"/>
        <v>salarié</v>
      </c>
      <c r="M205" s="485" t="s">
        <v>48</v>
      </c>
      <c r="N205" s="485" t="s">
        <v>1</v>
      </c>
      <c r="O205" s="486">
        <v>0.8</v>
      </c>
      <c r="P205" s="481" t="s">
        <v>59</v>
      </c>
      <c r="Q205" s="482" t="s">
        <v>32</v>
      </c>
      <c r="R205" s="478">
        <v>0</v>
      </c>
      <c r="S205" s="479">
        <v>0</v>
      </c>
      <c r="T205" s="1">
        <v>37240</v>
      </c>
      <c r="U205" s="656">
        <v>47150.209801328267</v>
      </c>
      <c r="V205" s="479">
        <v>100</v>
      </c>
      <c r="W205" s="483">
        <v>0</v>
      </c>
      <c r="X205" s="476">
        <v>1</v>
      </c>
      <c r="Y205" s="476">
        <v>0</v>
      </c>
      <c r="Z205" s="476">
        <v>0</v>
      </c>
      <c r="AA205" s="646" t="s">
        <v>998</v>
      </c>
      <c r="AB205" s="647">
        <f t="shared" si="11"/>
        <v>59</v>
      </c>
      <c r="AC205" s="647">
        <f t="shared" si="12"/>
        <v>9</v>
      </c>
      <c r="AD205" s="648" t="str">
        <f>IF(AB205="","",VLOOKUP(AB205,trancheage[],2,TRUE))</f>
        <v>50 ans et plus</v>
      </c>
      <c r="AE205" s="648" t="str">
        <f>IFERROR(VLOOKUP(AC205,trancheanciennete[],2,TRUE),"")</f>
        <v>3 : 10-14</v>
      </c>
      <c r="AF205" s="649" t="str">
        <f>IF(T205&gt;0,VLOOKUP(T205,Trancheremuneration[],2,TRUE),"")</f>
        <v>5 : + de 23 000</v>
      </c>
      <c r="AG205" s="650">
        <f t="shared" si="13"/>
        <v>56680.251761593921</v>
      </c>
      <c r="AH205" s="631" t="str">
        <f t="shared" si="14"/>
        <v>catégorie 1</v>
      </c>
      <c r="AI205" s="631"/>
    </row>
    <row r="206" spans="1:35" ht="14">
      <c r="A206" t="s">
        <v>605</v>
      </c>
      <c r="B206" s="645" t="s">
        <v>27</v>
      </c>
      <c r="C206" s="651">
        <v>35119</v>
      </c>
      <c r="D206" s="652">
        <v>40670</v>
      </c>
      <c r="E206" s="473" t="s">
        <v>501</v>
      </c>
      <c r="F206" s="1029" t="s">
        <v>3</v>
      </c>
      <c r="G206" s="472" t="s">
        <v>395</v>
      </c>
      <c r="H206" s="472" t="s">
        <v>392</v>
      </c>
      <c r="I206" s="474" t="s">
        <v>22</v>
      </c>
      <c r="J206" s="474" t="s">
        <v>28</v>
      </c>
      <c r="K206" s="475" t="s">
        <v>43</v>
      </c>
      <c r="L206" s="861" t="str">
        <f t="shared" si="10"/>
        <v>salarié</v>
      </c>
      <c r="M206" s="485" t="s">
        <v>48</v>
      </c>
      <c r="N206" s="485" t="s">
        <v>1</v>
      </c>
      <c r="O206" s="484">
        <v>0.8</v>
      </c>
      <c r="P206" s="476" t="s">
        <v>58</v>
      </c>
      <c r="Q206" s="477" t="s">
        <v>34</v>
      </c>
      <c r="R206" s="478">
        <v>1</v>
      </c>
      <c r="S206" s="479">
        <v>7</v>
      </c>
      <c r="T206" s="1">
        <v>43000</v>
      </c>
      <c r="U206" s="656">
        <v>58284.15753012606</v>
      </c>
      <c r="V206" s="479">
        <v>250</v>
      </c>
      <c r="W206" s="483">
        <v>1</v>
      </c>
      <c r="X206" s="476">
        <v>0</v>
      </c>
      <c r="Y206" s="476">
        <v>1</v>
      </c>
      <c r="Z206" s="476">
        <v>0</v>
      </c>
      <c r="AA206" s="646" t="s">
        <v>998</v>
      </c>
      <c r="AB206" s="647">
        <f t="shared" si="11"/>
        <v>24</v>
      </c>
      <c r="AC206" s="647">
        <f t="shared" si="12"/>
        <v>9</v>
      </c>
      <c r="AD206" s="648" t="str">
        <f>IF(AB206="","",VLOOKUP(AB206,trancheage[],2,TRUE))</f>
        <v>Moins de 30 ans</v>
      </c>
      <c r="AE206" s="648" t="str">
        <f>IFERROR(VLOOKUP(AC206,trancheanciennete[],2,TRUE),"")</f>
        <v>3 : 10-14</v>
      </c>
      <c r="AF206" s="649" t="str">
        <f>IF(T206&gt;0,VLOOKUP(T206,Trancheremuneration[],2,TRUE),"")</f>
        <v>5 : + de 23 000</v>
      </c>
      <c r="AG206" s="650">
        <f t="shared" si="13"/>
        <v>70190.989036151266</v>
      </c>
      <c r="AH206" s="631" t="str">
        <f t="shared" si="14"/>
        <v>catégorie 1</v>
      </c>
      <c r="AI206" s="631"/>
    </row>
    <row r="207" spans="1:35" ht="14">
      <c r="A207" t="s">
        <v>783</v>
      </c>
      <c r="B207" s="645" t="s">
        <v>47</v>
      </c>
      <c r="C207" s="651">
        <v>27485</v>
      </c>
      <c r="D207" s="652">
        <v>40684</v>
      </c>
      <c r="E207" s="473" t="s">
        <v>501</v>
      </c>
      <c r="F207" s="1029" t="s">
        <v>50</v>
      </c>
      <c r="G207" s="472" t="s">
        <v>399</v>
      </c>
      <c r="H207" s="472" t="s">
        <v>392</v>
      </c>
      <c r="I207" s="474" t="s">
        <v>22</v>
      </c>
      <c r="J207" s="474" t="s">
        <v>29</v>
      </c>
      <c r="K207" s="475" t="s">
        <v>43</v>
      </c>
      <c r="L207" s="861" t="str">
        <f t="shared" ref="L207:L270" si="15">"salarié"</f>
        <v>salarié</v>
      </c>
      <c r="M207" s="485" t="s">
        <v>48</v>
      </c>
      <c r="N207" s="485" t="s">
        <v>1</v>
      </c>
      <c r="O207" s="484">
        <v>0.5</v>
      </c>
      <c r="P207" s="476" t="s">
        <v>58</v>
      </c>
      <c r="Q207" s="477" t="s">
        <v>30</v>
      </c>
      <c r="R207" s="478">
        <v>0</v>
      </c>
      <c r="S207" s="479">
        <v>7</v>
      </c>
      <c r="T207" s="1">
        <v>57400</v>
      </c>
      <c r="U207" s="656">
        <v>22153.990747239281</v>
      </c>
      <c r="V207" s="479">
        <v>250</v>
      </c>
      <c r="W207" s="483">
        <v>0</v>
      </c>
      <c r="X207" s="476">
        <v>0</v>
      </c>
      <c r="Y207" s="476">
        <v>1</v>
      </c>
      <c r="Z207" s="476">
        <v>0</v>
      </c>
      <c r="AA207" s="646" t="s">
        <v>998</v>
      </c>
      <c r="AB207" s="647">
        <f t="shared" ref="AB207:AB270" si="16">IF(ISBLANK(C207),"",DATEDIF(C207,dref,"y"))</f>
        <v>45</v>
      </c>
      <c r="AC207" s="647">
        <f t="shared" ref="AC207:AC270" si="17">IF(ISBLANK(C207),"",DATEDIF(D207,dref,"y"))</f>
        <v>9</v>
      </c>
      <c r="AD207" s="648" t="str">
        <f>IF(AB207="","",VLOOKUP(AB207,trancheage[],2,TRUE))</f>
        <v>40 à 49 ans</v>
      </c>
      <c r="AE207" s="648" t="str">
        <f>IFERROR(VLOOKUP(AC207,trancheanciennete[],2,TRUE),"")</f>
        <v>3 : 10-14</v>
      </c>
      <c r="AF207" s="649" t="str">
        <f>IF(T207&gt;0,VLOOKUP(T207,Trancheremuneration[],2,TRUE),"")</f>
        <v>5 : + de 23 000</v>
      </c>
      <c r="AG207" s="650">
        <f t="shared" ref="AG207:AG270" si="18">IF((U207*(1+(100%-O207)))+V207=0,"",(U207*(1+(100%-O207)))+V207)</f>
        <v>33480.986120858921</v>
      </c>
      <c r="AH207" s="631" t="str">
        <f t="shared" ref="AH207:AH270" si="19">IF(coefchoisi=$AS$15,F207,IF(coefchoisi=$AS$16,G207,IF(coefchoisi=$AS$17,H207,1)))</f>
        <v>catégorie 1</v>
      </c>
      <c r="AI207" s="631"/>
    </row>
    <row r="208" spans="1:35" ht="14">
      <c r="A208" t="s">
        <v>585</v>
      </c>
      <c r="B208" s="645" t="s">
        <v>47</v>
      </c>
      <c r="C208" s="651">
        <v>31690</v>
      </c>
      <c r="D208" s="652">
        <v>40806</v>
      </c>
      <c r="E208" s="473" t="s">
        <v>501</v>
      </c>
      <c r="F208" s="1029" t="s">
        <v>50</v>
      </c>
      <c r="G208" s="472" t="s">
        <v>396</v>
      </c>
      <c r="H208" s="472" t="s">
        <v>393</v>
      </c>
      <c r="I208" s="474" t="s">
        <v>38</v>
      </c>
      <c r="J208" s="474" t="s">
        <v>52</v>
      </c>
      <c r="K208" s="475" t="s">
        <v>37</v>
      </c>
      <c r="L208" s="861" t="str">
        <f t="shared" si="15"/>
        <v>salarié</v>
      </c>
      <c r="M208" s="485" t="s">
        <v>48</v>
      </c>
      <c r="N208" s="485" t="s">
        <v>1</v>
      </c>
      <c r="O208" s="486">
        <v>0.8</v>
      </c>
      <c r="P208" s="481" t="s">
        <v>58</v>
      </c>
      <c r="Q208" s="482" t="s">
        <v>34</v>
      </c>
      <c r="R208" s="478">
        <v>1</v>
      </c>
      <c r="S208" s="479">
        <v>14</v>
      </c>
      <c r="T208" s="1">
        <v>22720</v>
      </c>
      <c r="U208" s="656">
        <v>18441.716916400987</v>
      </c>
      <c r="V208" s="479">
        <v>250</v>
      </c>
      <c r="W208" s="483">
        <v>1</v>
      </c>
      <c r="X208" s="476">
        <v>0</v>
      </c>
      <c r="Y208" s="476">
        <v>0</v>
      </c>
      <c r="Z208" s="476">
        <v>0</v>
      </c>
      <c r="AA208" s="646" t="s">
        <v>998</v>
      </c>
      <c r="AB208" s="647">
        <f t="shared" si="16"/>
        <v>33</v>
      </c>
      <c r="AC208" s="647">
        <f t="shared" si="17"/>
        <v>8</v>
      </c>
      <c r="AD208" s="648" t="str">
        <f>IF(AB208="","",VLOOKUP(AB208,trancheage[],2,TRUE))</f>
        <v>30 à 39 ans</v>
      </c>
      <c r="AE208" s="648" t="str">
        <f>IFERROR(VLOOKUP(AC208,trancheanciennete[],2,TRUE),"")</f>
        <v>2 : 5-9</v>
      </c>
      <c r="AF208" s="649" t="str">
        <f>IF(T208&gt;0,VLOOKUP(T208,Trancheremuneration[],2,TRUE),"")</f>
        <v>4: 20 000-23 000</v>
      </c>
      <c r="AG208" s="650">
        <f t="shared" si="18"/>
        <v>22380.060299681183</v>
      </c>
      <c r="AH208" s="631" t="str">
        <f t="shared" si="19"/>
        <v>catégorie 2</v>
      </c>
      <c r="AI208" s="631"/>
    </row>
    <row r="209" spans="1:35" ht="14">
      <c r="A209" t="s">
        <v>784</v>
      </c>
      <c r="B209" s="645" t="s">
        <v>27</v>
      </c>
      <c r="C209" s="651">
        <v>33498</v>
      </c>
      <c r="D209" s="652">
        <v>40820</v>
      </c>
      <c r="E209" s="473" t="s">
        <v>502</v>
      </c>
      <c r="F209" s="1029" t="s">
        <v>3</v>
      </c>
      <c r="G209" s="472" t="s">
        <v>397</v>
      </c>
      <c r="H209" s="472" t="s">
        <v>392</v>
      </c>
      <c r="I209" s="474" t="s">
        <v>22</v>
      </c>
      <c r="J209" s="474" t="s">
        <v>29</v>
      </c>
      <c r="K209" s="475" t="s">
        <v>43</v>
      </c>
      <c r="L209" s="861" t="str">
        <f t="shared" si="15"/>
        <v>salarié</v>
      </c>
      <c r="M209" s="485" t="s">
        <v>48</v>
      </c>
      <c r="N209" s="485" t="s">
        <v>0</v>
      </c>
      <c r="O209" s="484">
        <v>0.5</v>
      </c>
      <c r="P209" s="476" t="s">
        <v>58</v>
      </c>
      <c r="Q209" s="477" t="s">
        <v>34</v>
      </c>
      <c r="R209" s="478">
        <v>0</v>
      </c>
      <c r="S209" s="479">
        <v>7</v>
      </c>
      <c r="T209" s="1">
        <v>22240</v>
      </c>
      <c r="U209" s="656">
        <v>15301.473660819251</v>
      </c>
      <c r="V209" s="479">
        <v>100</v>
      </c>
      <c r="W209" s="483">
        <v>0</v>
      </c>
      <c r="X209" s="476">
        <v>0</v>
      </c>
      <c r="Y209" s="476">
        <v>1</v>
      </c>
      <c r="Z209" s="476">
        <v>0</v>
      </c>
      <c r="AA209" s="646" t="s">
        <v>998</v>
      </c>
      <c r="AB209" s="647">
        <f t="shared" si="16"/>
        <v>28</v>
      </c>
      <c r="AC209" s="647">
        <f t="shared" si="17"/>
        <v>8</v>
      </c>
      <c r="AD209" s="648" t="str">
        <f>IF(AB209="","",VLOOKUP(AB209,trancheage[],2,TRUE))</f>
        <v>Moins de 30 ans</v>
      </c>
      <c r="AE209" s="648" t="str">
        <f>IFERROR(VLOOKUP(AC209,trancheanciennete[],2,TRUE),"")</f>
        <v>2 : 5-9</v>
      </c>
      <c r="AF209" s="649" t="str">
        <f>IF(T209&gt;0,VLOOKUP(T209,Trancheremuneration[],2,TRUE),"")</f>
        <v>4: 20 000-23 000</v>
      </c>
      <c r="AG209" s="650">
        <f t="shared" si="18"/>
        <v>23052.210491228878</v>
      </c>
      <c r="AH209" s="631" t="str">
        <f t="shared" si="19"/>
        <v>catégorie 1</v>
      </c>
      <c r="AI209" s="631"/>
    </row>
    <row r="210" spans="1:35" ht="14">
      <c r="A210" t="s">
        <v>595</v>
      </c>
      <c r="B210" s="645" t="s">
        <v>27</v>
      </c>
      <c r="C210" s="651">
        <v>32502</v>
      </c>
      <c r="D210" s="652">
        <v>40849</v>
      </c>
      <c r="E210" s="473" t="s">
        <v>505</v>
      </c>
      <c r="F210" s="1029" t="s">
        <v>3</v>
      </c>
      <c r="G210" s="472" t="s">
        <v>398</v>
      </c>
      <c r="H210" s="472" t="s">
        <v>392</v>
      </c>
      <c r="I210" s="474" t="s">
        <v>22</v>
      </c>
      <c r="J210" s="474" t="s">
        <v>29</v>
      </c>
      <c r="K210" s="475" t="s">
        <v>43</v>
      </c>
      <c r="L210" s="861" t="str">
        <f t="shared" si="15"/>
        <v>salarié</v>
      </c>
      <c r="M210" s="485" t="s">
        <v>48</v>
      </c>
      <c r="N210" s="485" t="s">
        <v>0</v>
      </c>
      <c r="O210" s="486">
        <v>0.8</v>
      </c>
      <c r="P210" s="481" t="s">
        <v>58</v>
      </c>
      <c r="Q210" s="482" t="s">
        <v>34</v>
      </c>
      <c r="R210" s="478">
        <v>0</v>
      </c>
      <c r="S210" s="479">
        <v>14</v>
      </c>
      <c r="T210" s="1">
        <v>20320</v>
      </c>
      <c r="U210" s="656">
        <v>12191.418489269836</v>
      </c>
      <c r="V210" s="479">
        <v>250</v>
      </c>
      <c r="W210" s="483">
        <v>0</v>
      </c>
      <c r="X210" s="476">
        <v>0</v>
      </c>
      <c r="Y210" s="476">
        <v>0</v>
      </c>
      <c r="Z210" s="476">
        <v>0</v>
      </c>
      <c r="AA210" s="646" t="s">
        <v>998</v>
      </c>
      <c r="AB210" s="647">
        <f t="shared" si="16"/>
        <v>31</v>
      </c>
      <c r="AC210" s="647">
        <f t="shared" si="17"/>
        <v>8</v>
      </c>
      <c r="AD210" s="648" t="str">
        <f>IF(AB210="","",VLOOKUP(AB210,trancheage[],2,TRUE))</f>
        <v>30 à 39 ans</v>
      </c>
      <c r="AE210" s="648" t="str">
        <f>IFERROR(VLOOKUP(AC210,trancheanciennete[],2,TRUE),"")</f>
        <v>2 : 5-9</v>
      </c>
      <c r="AF210" s="649" t="str">
        <f>IF(T210&gt;0,VLOOKUP(T210,Trancheremuneration[],2,TRUE),"")</f>
        <v>4: 20 000-23 000</v>
      </c>
      <c r="AG210" s="650">
        <f t="shared" si="18"/>
        <v>14879.702187123803</v>
      </c>
      <c r="AH210" s="631" t="str">
        <f t="shared" si="19"/>
        <v>catégorie 1</v>
      </c>
      <c r="AI210" s="631"/>
    </row>
    <row r="211" spans="1:35" ht="14">
      <c r="A211" t="s">
        <v>785</v>
      </c>
      <c r="B211" s="645" t="s">
        <v>47</v>
      </c>
      <c r="C211" s="651">
        <v>22879</v>
      </c>
      <c r="D211" s="652">
        <v>40867</v>
      </c>
      <c r="E211" s="473" t="s">
        <v>501</v>
      </c>
      <c r="F211" s="1029" t="s">
        <v>50</v>
      </c>
      <c r="G211" s="472" t="s">
        <v>399</v>
      </c>
      <c r="H211" s="472" t="s">
        <v>392</v>
      </c>
      <c r="I211" s="474" t="s">
        <v>23</v>
      </c>
      <c r="J211" s="474" t="s">
        <v>18</v>
      </c>
      <c r="K211" s="475" t="s">
        <v>302</v>
      </c>
      <c r="L211" s="861" t="str">
        <f t="shared" si="15"/>
        <v>salarié</v>
      </c>
      <c r="M211" s="485" t="s">
        <v>48</v>
      </c>
      <c r="N211" s="485" t="s">
        <v>1</v>
      </c>
      <c r="O211" s="486">
        <v>0.8</v>
      </c>
      <c r="P211" s="481" t="s">
        <v>59</v>
      </c>
      <c r="Q211" s="482" t="s">
        <v>31</v>
      </c>
      <c r="R211" s="478">
        <v>0</v>
      </c>
      <c r="S211" s="479">
        <v>7</v>
      </c>
      <c r="T211" s="1">
        <v>14320</v>
      </c>
      <c r="U211" s="656">
        <v>21896.184838227273</v>
      </c>
      <c r="V211" s="479">
        <v>250</v>
      </c>
      <c r="W211" s="483">
        <v>1</v>
      </c>
      <c r="X211" s="476">
        <v>1</v>
      </c>
      <c r="Y211" s="476">
        <v>1</v>
      </c>
      <c r="Z211" s="476">
        <v>0</v>
      </c>
      <c r="AA211" s="646" t="s">
        <v>998</v>
      </c>
      <c r="AB211" s="647">
        <f t="shared" si="16"/>
        <v>58</v>
      </c>
      <c r="AC211" s="647">
        <f t="shared" si="17"/>
        <v>8</v>
      </c>
      <c r="AD211" s="648" t="str">
        <f>IF(AB211="","",VLOOKUP(AB211,trancheage[],2,TRUE))</f>
        <v>50 ans et plus</v>
      </c>
      <c r="AE211" s="648" t="str">
        <f>IFERROR(VLOOKUP(AC211,trancheanciennete[],2,TRUE),"")</f>
        <v>2 : 5-9</v>
      </c>
      <c r="AF211" s="649" t="str">
        <f>IF(T211&gt;0,VLOOKUP(T211,Trancheremuneration[],2,TRUE),"")</f>
        <v>2:14 000-17 000</v>
      </c>
      <c r="AG211" s="650">
        <f t="shared" si="18"/>
        <v>26525.421805872727</v>
      </c>
      <c r="AH211" s="631" t="str">
        <f t="shared" si="19"/>
        <v>catégorie 1</v>
      </c>
      <c r="AI211" s="631"/>
    </row>
    <row r="212" spans="1:35" ht="14">
      <c r="A212" t="s">
        <v>786</v>
      </c>
      <c r="B212" s="645" t="s">
        <v>47</v>
      </c>
      <c r="C212" s="651">
        <v>22017</v>
      </c>
      <c r="D212" s="652">
        <v>40951</v>
      </c>
      <c r="E212" s="473" t="s">
        <v>501</v>
      </c>
      <c r="F212" s="1029" t="s">
        <v>3</v>
      </c>
      <c r="G212" s="472" t="s">
        <v>395</v>
      </c>
      <c r="H212" s="472" t="s">
        <v>392</v>
      </c>
      <c r="I212" s="474" t="s">
        <v>22</v>
      </c>
      <c r="J212" s="474" t="s">
        <v>29</v>
      </c>
      <c r="K212" s="475" t="s">
        <v>35</v>
      </c>
      <c r="L212" s="861" t="str">
        <f t="shared" si="15"/>
        <v>salarié</v>
      </c>
      <c r="M212" s="485" t="s">
        <v>48</v>
      </c>
      <c r="N212" s="485" t="s">
        <v>1</v>
      </c>
      <c r="O212" s="486">
        <v>1</v>
      </c>
      <c r="P212" s="481" t="s">
        <v>59</v>
      </c>
      <c r="Q212" s="482" t="s">
        <v>30</v>
      </c>
      <c r="R212" s="478">
        <v>0</v>
      </c>
      <c r="S212" s="479">
        <v>7</v>
      </c>
      <c r="T212" s="1">
        <v>25000</v>
      </c>
      <c r="U212" s="656">
        <v>44066.416583509075</v>
      </c>
      <c r="V212" s="479">
        <v>250</v>
      </c>
      <c r="W212" s="483">
        <v>0</v>
      </c>
      <c r="X212" s="476">
        <v>0</v>
      </c>
      <c r="Y212" s="476">
        <v>0</v>
      </c>
      <c r="Z212" s="476">
        <v>0</v>
      </c>
      <c r="AA212" s="646" t="s">
        <v>998</v>
      </c>
      <c r="AB212" s="647">
        <f t="shared" si="16"/>
        <v>60</v>
      </c>
      <c r="AC212" s="647">
        <f t="shared" si="17"/>
        <v>8</v>
      </c>
      <c r="AD212" s="648" t="str">
        <f>IF(AB212="","",VLOOKUP(AB212,trancheage[],2,TRUE))</f>
        <v>50 ans et plus</v>
      </c>
      <c r="AE212" s="648" t="str">
        <f>IFERROR(VLOOKUP(AC212,trancheanciennete[],2,TRUE),"")</f>
        <v>2 : 5-9</v>
      </c>
      <c r="AF212" s="649" t="str">
        <f>IF(T212&gt;0,VLOOKUP(T212,Trancheremuneration[],2,TRUE),"")</f>
        <v>5 : + de 23 000</v>
      </c>
      <c r="AG212" s="650">
        <f t="shared" si="18"/>
        <v>44316.416583509075</v>
      </c>
      <c r="AH212" s="631" t="str">
        <f t="shared" si="19"/>
        <v>catégorie 1</v>
      </c>
      <c r="AI212" s="631"/>
    </row>
    <row r="213" spans="1:35" ht="14">
      <c r="A213" t="s">
        <v>787</v>
      </c>
      <c r="B213" s="645" t="s">
        <v>27</v>
      </c>
      <c r="C213" s="651">
        <v>21932</v>
      </c>
      <c r="D213" s="652">
        <v>40955</v>
      </c>
      <c r="E213" s="473" t="s">
        <v>505</v>
      </c>
      <c r="F213" s="1029" t="s">
        <v>3</v>
      </c>
      <c r="G213" s="472" t="s">
        <v>395</v>
      </c>
      <c r="H213" s="472" t="s">
        <v>393</v>
      </c>
      <c r="I213" s="474" t="s">
        <v>22</v>
      </c>
      <c r="J213" s="474" t="s">
        <v>29</v>
      </c>
      <c r="K213" s="475" t="s">
        <v>43</v>
      </c>
      <c r="L213" s="861" t="str">
        <f t="shared" si="15"/>
        <v>salarié</v>
      </c>
      <c r="M213" s="485" t="s">
        <v>48</v>
      </c>
      <c r="N213" s="485" t="s">
        <v>0</v>
      </c>
      <c r="O213" s="486">
        <v>1</v>
      </c>
      <c r="P213" s="481" t="s">
        <v>58</v>
      </c>
      <c r="Q213" s="482" t="s">
        <v>30</v>
      </c>
      <c r="R213" s="478">
        <v>1</v>
      </c>
      <c r="S213" s="479">
        <v>7</v>
      </c>
      <c r="T213" s="1">
        <v>47920</v>
      </c>
      <c r="U213" s="656">
        <v>35335.765235019375</v>
      </c>
      <c r="V213" s="479">
        <v>100</v>
      </c>
      <c r="W213" s="483">
        <v>0</v>
      </c>
      <c r="X213" s="476">
        <v>0</v>
      </c>
      <c r="Y213" s="476">
        <v>1</v>
      </c>
      <c r="Z213" s="476">
        <v>0</v>
      </c>
      <c r="AA213" s="646" t="s">
        <v>998</v>
      </c>
      <c r="AB213" s="647">
        <f t="shared" si="16"/>
        <v>60</v>
      </c>
      <c r="AC213" s="647">
        <f t="shared" si="17"/>
        <v>8</v>
      </c>
      <c r="AD213" s="648" t="str">
        <f>IF(AB213="","",VLOOKUP(AB213,trancheage[],2,TRUE))</f>
        <v>50 ans et plus</v>
      </c>
      <c r="AE213" s="648" t="str">
        <f>IFERROR(VLOOKUP(AC213,trancheanciennete[],2,TRUE),"")</f>
        <v>2 : 5-9</v>
      </c>
      <c r="AF213" s="649" t="str">
        <f>IF(T213&gt;0,VLOOKUP(T213,Trancheremuneration[],2,TRUE),"")</f>
        <v>5 : + de 23 000</v>
      </c>
      <c r="AG213" s="650">
        <f t="shared" si="18"/>
        <v>35435.765235019375</v>
      </c>
      <c r="AH213" s="631" t="str">
        <f t="shared" si="19"/>
        <v>catégorie 2</v>
      </c>
      <c r="AI213" s="631"/>
    </row>
    <row r="214" spans="1:35" ht="14">
      <c r="A214" t="s">
        <v>788</v>
      </c>
      <c r="B214" s="645" t="s">
        <v>47</v>
      </c>
      <c r="C214" s="651">
        <v>30213</v>
      </c>
      <c r="D214" s="652">
        <v>40959</v>
      </c>
      <c r="E214" s="473" t="s">
        <v>501</v>
      </c>
      <c r="F214" s="1029" t="s">
        <v>3</v>
      </c>
      <c r="G214" s="472" t="s">
        <v>395</v>
      </c>
      <c r="H214" s="472" t="s">
        <v>392</v>
      </c>
      <c r="I214" s="474" t="s">
        <v>22</v>
      </c>
      <c r="J214" s="474" t="s">
        <v>29</v>
      </c>
      <c r="K214" s="475" t="s">
        <v>43</v>
      </c>
      <c r="L214" s="861" t="str">
        <f t="shared" si="15"/>
        <v>salarié</v>
      </c>
      <c r="M214" s="485" t="s">
        <v>42</v>
      </c>
      <c r="N214" s="485" t="s">
        <v>0</v>
      </c>
      <c r="O214" s="486">
        <v>1</v>
      </c>
      <c r="P214" s="481" t="s">
        <v>59</v>
      </c>
      <c r="Q214" s="482" t="s">
        <v>33</v>
      </c>
      <c r="R214" s="478">
        <v>1</v>
      </c>
      <c r="S214" s="479">
        <v>7</v>
      </c>
      <c r="T214" s="1">
        <v>35080</v>
      </c>
      <c r="U214" s="656">
        <v>35866.948722056019</v>
      </c>
      <c r="V214" s="479">
        <v>250</v>
      </c>
      <c r="W214" s="483">
        <v>1</v>
      </c>
      <c r="X214" s="476">
        <v>0</v>
      </c>
      <c r="Y214" s="476">
        <v>1</v>
      </c>
      <c r="Z214" s="476">
        <v>0</v>
      </c>
      <c r="AA214" s="646" t="s">
        <v>998</v>
      </c>
      <c r="AB214" s="647">
        <f t="shared" si="16"/>
        <v>37</v>
      </c>
      <c r="AC214" s="647">
        <f t="shared" si="17"/>
        <v>8</v>
      </c>
      <c r="AD214" s="648" t="str">
        <f>IF(AB214="","",VLOOKUP(AB214,trancheage[],2,TRUE))</f>
        <v>30 à 39 ans</v>
      </c>
      <c r="AE214" s="648" t="str">
        <f>IFERROR(VLOOKUP(AC214,trancheanciennete[],2,TRUE),"")</f>
        <v>2 : 5-9</v>
      </c>
      <c r="AF214" s="649" t="str">
        <f>IF(T214&gt;0,VLOOKUP(T214,Trancheremuneration[],2,TRUE),"")</f>
        <v>5 : + de 23 000</v>
      </c>
      <c r="AG214" s="650">
        <f t="shared" si="18"/>
        <v>36116.948722056019</v>
      </c>
      <c r="AH214" s="631" t="str">
        <f t="shared" si="19"/>
        <v>catégorie 1</v>
      </c>
      <c r="AI214" s="631"/>
    </row>
    <row r="215" spans="1:35" ht="14">
      <c r="A215" t="s">
        <v>789</v>
      </c>
      <c r="B215" s="645" t="s">
        <v>47</v>
      </c>
      <c r="C215" s="651">
        <v>34122</v>
      </c>
      <c r="D215" s="652">
        <v>40961</v>
      </c>
      <c r="E215" s="473" t="s">
        <v>501</v>
      </c>
      <c r="F215" s="1029" t="s">
        <v>50</v>
      </c>
      <c r="G215" s="472" t="s">
        <v>396</v>
      </c>
      <c r="H215" s="472" t="s">
        <v>392</v>
      </c>
      <c r="I215" s="474" t="s">
        <v>23</v>
      </c>
      <c r="J215" s="474" t="s">
        <v>18</v>
      </c>
      <c r="K215" s="475" t="s">
        <v>36</v>
      </c>
      <c r="L215" s="861" t="str">
        <f t="shared" si="15"/>
        <v>salarié</v>
      </c>
      <c r="M215" s="485" t="s">
        <v>48</v>
      </c>
      <c r="N215" s="485" t="s">
        <v>0</v>
      </c>
      <c r="O215" s="486">
        <v>1</v>
      </c>
      <c r="P215" s="481" t="s">
        <v>58</v>
      </c>
      <c r="Q215" s="482" t="s">
        <v>34</v>
      </c>
      <c r="R215" s="478">
        <v>1</v>
      </c>
      <c r="S215" s="479">
        <v>28</v>
      </c>
      <c r="T215" s="1">
        <v>32920</v>
      </c>
      <c r="U215" s="656">
        <v>18078.426723453955</v>
      </c>
      <c r="V215" s="479">
        <v>250</v>
      </c>
      <c r="W215" s="483">
        <v>1</v>
      </c>
      <c r="X215" s="476">
        <v>0</v>
      </c>
      <c r="Y215" s="476">
        <v>1</v>
      </c>
      <c r="Z215" s="476">
        <v>0</v>
      </c>
      <c r="AA215" s="646" t="s">
        <v>998</v>
      </c>
      <c r="AB215" s="647">
        <f t="shared" si="16"/>
        <v>27</v>
      </c>
      <c r="AC215" s="647">
        <f t="shared" si="17"/>
        <v>8</v>
      </c>
      <c r="AD215" s="648" t="str">
        <f>IF(AB215="","",VLOOKUP(AB215,trancheage[],2,TRUE))</f>
        <v>Moins de 30 ans</v>
      </c>
      <c r="AE215" s="648" t="str">
        <f>IFERROR(VLOOKUP(AC215,trancheanciennete[],2,TRUE),"")</f>
        <v>2 : 5-9</v>
      </c>
      <c r="AF215" s="649" t="str">
        <f>IF(T215&gt;0,VLOOKUP(T215,Trancheremuneration[],2,TRUE),"")</f>
        <v>5 : + de 23 000</v>
      </c>
      <c r="AG215" s="650">
        <f t="shared" si="18"/>
        <v>18328.426723453955</v>
      </c>
      <c r="AH215" s="631" t="str">
        <f t="shared" si="19"/>
        <v>catégorie 1</v>
      </c>
      <c r="AI215" s="631"/>
    </row>
    <row r="216" spans="1:35" ht="14">
      <c r="A216" t="s">
        <v>790</v>
      </c>
      <c r="B216" s="645" t="s">
        <v>27</v>
      </c>
      <c r="C216" s="651">
        <v>34297</v>
      </c>
      <c r="D216" s="652">
        <v>40970</v>
      </c>
      <c r="E216" s="473" t="s">
        <v>505</v>
      </c>
      <c r="F216" s="1029" t="s">
        <v>3</v>
      </c>
      <c r="G216" s="472" t="s">
        <v>397</v>
      </c>
      <c r="H216" s="472" t="s">
        <v>392</v>
      </c>
      <c r="I216" s="474" t="s">
        <v>22</v>
      </c>
      <c r="J216" s="474" t="s">
        <v>29</v>
      </c>
      <c r="K216" s="475" t="s">
        <v>43</v>
      </c>
      <c r="L216" s="861" t="str">
        <f t="shared" si="15"/>
        <v>salarié</v>
      </c>
      <c r="M216" s="485" t="s">
        <v>40</v>
      </c>
      <c r="N216" s="485" t="s">
        <v>0</v>
      </c>
      <c r="O216" s="486">
        <v>1</v>
      </c>
      <c r="P216" s="481" t="s">
        <v>58</v>
      </c>
      <c r="Q216" s="482" t="s">
        <v>33</v>
      </c>
      <c r="R216" s="478">
        <v>1</v>
      </c>
      <c r="S216" s="479">
        <v>14</v>
      </c>
      <c r="T216" s="1">
        <v>14320</v>
      </c>
      <c r="U216" s="656">
        <v>46671.203665014938</v>
      </c>
      <c r="V216" s="479">
        <v>250</v>
      </c>
      <c r="W216" s="483">
        <v>1</v>
      </c>
      <c r="X216" s="476">
        <v>0</v>
      </c>
      <c r="Y216" s="476">
        <v>0</v>
      </c>
      <c r="Z216" s="476">
        <v>0</v>
      </c>
      <c r="AA216" s="646" t="s">
        <v>998</v>
      </c>
      <c r="AB216" s="647">
        <f t="shared" si="16"/>
        <v>26</v>
      </c>
      <c r="AC216" s="647">
        <f t="shared" si="17"/>
        <v>8</v>
      </c>
      <c r="AD216" s="648" t="str">
        <f>IF(AB216="","",VLOOKUP(AB216,trancheage[],2,TRUE))</f>
        <v>Moins de 30 ans</v>
      </c>
      <c r="AE216" s="648" t="str">
        <f>IFERROR(VLOOKUP(AC216,trancheanciennete[],2,TRUE),"")</f>
        <v>2 : 5-9</v>
      </c>
      <c r="AF216" s="649" t="str">
        <f>IF(T216&gt;0,VLOOKUP(T216,Trancheremuneration[],2,TRUE),"")</f>
        <v>2:14 000-17 000</v>
      </c>
      <c r="AG216" s="650">
        <f t="shared" si="18"/>
        <v>46921.203665014938</v>
      </c>
      <c r="AH216" s="631" t="str">
        <f t="shared" si="19"/>
        <v>catégorie 1</v>
      </c>
      <c r="AI216" s="631"/>
    </row>
    <row r="217" spans="1:35" ht="14">
      <c r="A217" t="s">
        <v>791</v>
      </c>
      <c r="B217" s="645" t="s">
        <v>47</v>
      </c>
      <c r="C217" s="651">
        <v>27582</v>
      </c>
      <c r="D217" s="652">
        <v>41037</v>
      </c>
      <c r="E217" s="473" t="s">
        <v>505</v>
      </c>
      <c r="F217" s="1029" t="s">
        <v>50</v>
      </c>
      <c r="G217" s="472" t="s">
        <v>398</v>
      </c>
      <c r="H217" s="472" t="s">
        <v>392</v>
      </c>
      <c r="I217" s="474" t="s">
        <v>22</v>
      </c>
      <c r="J217" s="474" t="s">
        <v>28</v>
      </c>
      <c r="K217" s="475" t="s">
        <v>43</v>
      </c>
      <c r="L217" s="861" t="str">
        <f t="shared" si="15"/>
        <v>salarié</v>
      </c>
      <c r="M217" s="483" t="s">
        <v>48</v>
      </c>
      <c r="N217" s="483" t="s">
        <v>0</v>
      </c>
      <c r="O217" s="486">
        <v>1</v>
      </c>
      <c r="P217" s="481" t="s">
        <v>58</v>
      </c>
      <c r="Q217" s="482" t="s">
        <v>31</v>
      </c>
      <c r="R217" s="478">
        <v>0</v>
      </c>
      <c r="S217" s="479">
        <v>7</v>
      </c>
      <c r="T217" s="1">
        <v>46600</v>
      </c>
      <c r="U217" s="656">
        <v>61257.913039472201</v>
      </c>
      <c r="V217" s="479">
        <v>500</v>
      </c>
      <c r="W217" s="483">
        <v>0</v>
      </c>
      <c r="X217" s="476">
        <v>1</v>
      </c>
      <c r="Y217" s="476">
        <v>0</v>
      </c>
      <c r="Z217" s="476">
        <v>0</v>
      </c>
      <c r="AA217" s="646" t="s">
        <v>998</v>
      </c>
      <c r="AB217" s="647">
        <f t="shared" si="16"/>
        <v>45</v>
      </c>
      <c r="AC217" s="647">
        <f t="shared" si="17"/>
        <v>8</v>
      </c>
      <c r="AD217" s="648" t="str">
        <f>IF(AB217="","",VLOOKUP(AB217,trancheage[],2,TRUE))</f>
        <v>40 à 49 ans</v>
      </c>
      <c r="AE217" s="648" t="str">
        <f>IFERROR(VLOOKUP(AC217,trancheanciennete[],2,TRUE),"")</f>
        <v>2 : 5-9</v>
      </c>
      <c r="AF217" s="649" t="str">
        <f>IF(T217&gt;0,VLOOKUP(T217,Trancheremuneration[],2,TRUE),"")</f>
        <v>5 : + de 23 000</v>
      </c>
      <c r="AG217" s="650">
        <f t="shared" si="18"/>
        <v>61757.913039472201</v>
      </c>
      <c r="AH217" s="631" t="str">
        <f t="shared" si="19"/>
        <v>catégorie 1</v>
      </c>
      <c r="AI217" s="631"/>
    </row>
    <row r="218" spans="1:35" ht="14">
      <c r="A218" t="s">
        <v>792</v>
      </c>
      <c r="B218" s="645" t="s">
        <v>27</v>
      </c>
      <c r="C218" s="651">
        <v>35381</v>
      </c>
      <c r="D218" s="652">
        <v>41129</v>
      </c>
      <c r="E218" s="473" t="s">
        <v>501</v>
      </c>
      <c r="F218" s="1029" t="s">
        <v>50</v>
      </c>
      <c r="G218" s="472" t="s">
        <v>399</v>
      </c>
      <c r="H218" s="472" t="s">
        <v>393</v>
      </c>
      <c r="I218" s="474" t="s">
        <v>22</v>
      </c>
      <c r="J218" s="474" t="s">
        <v>28</v>
      </c>
      <c r="K218" s="475" t="s">
        <v>43</v>
      </c>
      <c r="L218" s="861" t="str">
        <f t="shared" si="15"/>
        <v>salarié</v>
      </c>
      <c r="M218" s="483" t="s">
        <v>48</v>
      </c>
      <c r="N218" s="483" t="s">
        <v>0</v>
      </c>
      <c r="O218" s="486">
        <v>1</v>
      </c>
      <c r="P218" s="481" t="s">
        <v>58</v>
      </c>
      <c r="Q218" s="482" t="s">
        <v>31</v>
      </c>
      <c r="R218" s="478">
        <v>1</v>
      </c>
      <c r="S218" s="479">
        <v>0</v>
      </c>
      <c r="T218" s="1">
        <v>53800</v>
      </c>
      <c r="U218" s="656">
        <v>14966.646053739798</v>
      </c>
      <c r="V218" s="479">
        <v>250</v>
      </c>
      <c r="W218" s="483">
        <v>1</v>
      </c>
      <c r="X218" s="476">
        <v>1</v>
      </c>
      <c r="Y218" s="476">
        <v>0</v>
      </c>
      <c r="Z218" s="476">
        <v>0</v>
      </c>
      <c r="AA218" s="646" t="s">
        <v>998</v>
      </c>
      <c r="AB218" s="647">
        <f t="shared" si="16"/>
        <v>23</v>
      </c>
      <c r="AC218" s="647">
        <f t="shared" si="17"/>
        <v>8</v>
      </c>
      <c r="AD218" s="648" t="str">
        <f>IF(AB218="","",VLOOKUP(AB218,trancheage[],2,TRUE))</f>
        <v>Moins de 30 ans</v>
      </c>
      <c r="AE218" s="648" t="str">
        <f>IFERROR(VLOOKUP(AC218,trancheanciennete[],2,TRUE),"")</f>
        <v>2 : 5-9</v>
      </c>
      <c r="AF218" s="649" t="str">
        <f>IF(T218&gt;0,VLOOKUP(T218,Trancheremuneration[],2,TRUE),"")</f>
        <v>5 : + de 23 000</v>
      </c>
      <c r="AG218" s="650">
        <f t="shared" si="18"/>
        <v>15216.646053739798</v>
      </c>
      <c r="AH218" s="631" t="str">
        <f t="shared" si="19"/>
        <v>catégorie 2</v>
      </c>
      <c r="AI218" s="631"/>
    </row>
    <row r="219" spans="1:35" ht="14">
      <c r="A219" t="s">
        <v>793</v>
      </c>
      <c r="B219" s="645" t="s">
        <v>47</v>
      </c>
      <c r="C219" s="651">
        <v>34634</v>
      </c>
      <c r="D219" s="652">
        <v>41135</v>
      </c>
      <c r="E219" s="473" t="s">
        <v>501</v>
      </c>
      <c r="F219" s="1029" t="s">
        <v>3</v>
      </c>
      <c r="G219" s="472" t="s">
        <v>395</v>
      </c>
      <c r="H219" s="472" t="s">
        <v>394</v>
      </c>
      <c r="I219" s="474" t="s">
        <v>23</v>
      </c>
      <c r="J219" s="474" t="s">
        <v>18</v>
      </c>
      <c r="K219" s="475" t="s">
        <v>305</v>
      </c>
      <c r="L219" s="861" t="str">
        <f t="shared" si="15"/>
        <v>salarié</v>
      </c>
      <c r="M219" s="485" t="s">
        <v>48</v>
      </c>
      <c r="N219" s="485" t="s">
        <v>0</v>
      </c>
      <c r="O219" s="486">
        <v>1</v>
      </c>
      <c r="P219" s="481" t="s">
        <v>58</v>
      </c>
      <c r="Q219" s="482" t="s">
        <v>39</v>
      </c>
      <c r="R219" s="478">
        <v>1</v>
      </c>
      <c r="S219" s="479">
        <v>0</v>
      </c>
      <c r="T219" s="1">
        <v>12400</v>
      </c>
      <c r="U219" s="656">
        <v>60375.927003436787</v>
      </c>
      <c r="V219" s="479">
        <v>250</v>
      </c>
      <c r="W219" s="483">
        <v>1</v>
      </c>
      <c r="X219" s="476">
        <v>0</v>
      </c>
      <c r="Y219" s="476">
        <v>0</v>
      </c>
      <c r="Z219" s="476">
        <v>0</v>
      </c>
      <c r="AA219" s="646" t="s">
        <v>998</v>
      </c>
      <c r="AB219" s="647">
        <f t="shared" si="16"/>
        <v>25</v>
      </c>
      <c r="AC219" s="647">
        <f t="shared" si="17"/>
        <v>8</v>
      </c>
      <c r="AD219" s="648" t="str">
        <f>IF(AB219="","",VLOOKUP(AB219,trancheage[],2,TRUE))</f>
        <v>Moins de 30 ans</v>
      </c>
      <c r="AE219" s="648" t="str">
        <f>IFERROR(VLOOKUP(AC219,trancheanciennete[],2,TRUE),"")</f>
        <v>2 : 5-9</v>
      </c>
      <c r="AF219" s="649" t="str">
        <f>IF(T219&gt;0,VLOOKUP(T219,Trancheremuneration[],2,TRUE),"")</f>
        <v>1:7 000-14 000</v>
      </c>
      <c r="AG219" s="650">
        <f t="shared" si="18"/>
        <v>60625.927003436787</v>
      </c>
      <c r="AH219" s="631" t="str">
        <f t="shared" si="19"/>
        <v>catégorie 3</v>
      </c>
      <c r="AI219" s="631"/>
    </row>
    <row r="220" spans="1:35" ht="14">
      <c r="A220" t="s">
        <v>794</v>
      </c>
      <c r="B220" s="645" t="s">
        <v>47</v>
      </c>
      <c r="C220" s="651">
        <v>31044</v>
      </c>
      <c r="D220" s="652">
        <v>41179</v>
      </c>
      <c r="E220" s="473" t="s">
        <v>504</v>
      </c>
      <c r="F220" s="1029" t="s">
        <v>3</v>
      </c>
      <c r="G220" s="472" t="s">
        <v>395</v>
      </c>
      <c r="H220" s="472" t="s">
        <v>393</v>
      </c>
      <c r="I220" s="474" t="s">
        <v>23</v>
      </c>
      <c r="J220" s="474" t="s">
        <v>18</v>
      </c>
      <c r="K220" s="475" t="s">
        <v>303</v>
      </c>
      <c r="L220" s="861" t="str">
        <f t="shared" si="15"/>
        <v>salarié</v>
      </c>
      <c r="M220" s="485" t="s">
        <v>42</v>
      </c>
      <c r="N220" s="485" t="s">
        <v>0</v>
      </c>
      <c r="O220" s="486">
        <v>0.8</v>
      </c>
      <c r="P220" s="481" t="s">
        <v>59</v>
      </c>
      <c r="Q220" s="482" t="s">
        <v>30</v>
      </c>
      <c r="R220" s="478">
        <v>0</v>
      </c>
      <c r="S220" s="479">
        <v>0</v>
      </c>
      <c r="T220" s="1">
        <v>63400</v>
      </c>
      <c r="U220" s="656">
        <v>31074.922590084563</v>
      </c>
      <c r="V220" s="479">
        <v>250</v>
      </c>
      <c r="W220" s="483">
        <v>0</v>
      </c>
      <c r="X220" s="476">
        <v>0</v>
      </c>
      <c r="Y220" s="476">
        <v>0</v>
      </c>
      <c r="Z220" s="476">
        <v>0</v>
      </c>
      <c r="AA220" s="646" t="s">
        <v>998</v>
      </c>
      <c r="AB220" s="647">
        <f t="shared" si="16"/>
        <v>35</v>
      </c>
      <c r="AC220" s="647">
        <f t="shared" si="17"/>
        <v>7</v>
      </c>
      <c r="AD220" s="648" t="str">
        <f>IF(AB220="","",VLOOKUP(AB220,trancheage[],2,TRUE))</f>
        <v>30 à 39 ans</v>
      </c>
      <c r="AE220" s="648" t="str">
        <f>IFERROR(VLOOKUP(AC220,trancheanciennete[],2,TRUE),"")</f>
        <v>2 : 5-9</v>
      </c>
      <c r="AF220" s="649" t="str">
        <f>IF(T220&gt;0,VLOOKUP(T220,Trancheremuneration[],2,TRUE),"")</f>
        <v>5 : + de 23 000</v>
      </c>
      <c r="AG220" s="650">
        <f t="shared" si="18"/>
        <v>37539.907108101477</v>
      </c>
      <c r="AH220" s="631" t="str">
        <f t="shared" si="19"/>
        <v>catégorie 2</v>
      </c>
      <c r="AI220" s="631"/>
    </row>
    <row r="221" spans="1:35" ht="14">
      <c r="A221" t="s">
        <v>795</v>
      </c>
      <c r="B221" s="645" t="s">
        <v>27</v>
      </c>
      <c r="C221" s="651">
        <v>22844</v>
      </c>
      <c r="D221" s="652">
        <v>41196</v>
      </c>
      <c r="E221" s="473" t="s">
        <v>501</v>
      </c>
      <c r="F221" s="1029" t="s">
        <v>3</v>
      </c>
      <c r="G221" s="472" t="s">
        <v>396</v>
      </c>
      <c r="H221" s="472" t="s">
        <v>394</v>
      </c>
      <c r="I221" s="474" t="s">
        <v>22</v>
      </c>
      <c r="J221" s="474" t="s">
        <v>28</v>
      </c>
      <c r="K221" s="475" t="s">
        <v>43</v>
      </c>
      <c r="L221" s="861" t="str">
        <f t="shared" si="15"/>
        <v>salarié</v>
      </c>
      <c r="M221" s="485" t="s">
        <v>48</v>
      </c>
      <c r="N221" s="485" t="s">
        <v>1</v>
      </c>
      <c r="O221" s="486">
        <v>0.8</v>
      </c>
      <c r="P221" s="481" t="s">
        <v>59</v>
      </c>
      <c r="Q221" s="482" t="s">
        <v>30</v>
      </c>
      <c r="R221" s="478">
        <v>0</v>
      </c>
      <c r="S221" s="479">
        <v>0</v>
      </c>
      <c r="T221" s="1">
        <v>37240</v>
      </c>
      <c r="U221" s="656">
        <v>30421.485326617185</v>
      </c>
      <c r="V221" s="479">
        <v>500</v>
      </c>
      <c r="W221" s="483">
        <v>0</v>
      </c>
      <c r="X221" s="476">
        <v>1</v>
      </c>
      <c r="Y221" s="476">
        <v>0</v>
      </c>
      <c r="Z221" s="476">
        <v>0</v>
      </c>
      <c r="AA221" s="646" t="s">
        <v>998</v>
      </c>
      <c r="AB221" s="647">
        <f t="shared" si="16"/>
        <v>58</v>
      </c>
      <c r="AC221" s="647">
        <f t="shared" si="17"/>
        <v>7</v>
      </c>
      <c r="AD221" s="648" t="str">
        <f>IF(AB221="","",VLOOKUP(AB221,trancheage[],2,TRUE))</f>
        <v>50 ans et plus</v>
      </c>
      <c r="AE221" s="648" t="str">
        <f>IFERROR(VLOOKUP(AC221,trancheanciennete[],2,TRUE),"")</f>
        <v>2 : 5-9</v>
      </c>
      <c r="AF221" s="649" t="str">
        <f>IF(T221&gt;0,VLOOKUP(T221,Trancheremuneration[],2,TRUE),"")</f>
        <v>5 : + de 23 000</v>
      </c>
      <c r="AG221" s="650">
        <f t="shared" si="18"/>
        <v>37005.782391940622</v>
      </c>
      <c r="AH221" s="631" t="str">
        <f t="shared" si="19"/>
        <v>catégorie 3</v>
      </c>
      <c r="AI221" s="631"/>
    </row>
    <row r="222" spans="1:35" ht="14">
      <c r="A222" t="s">
        <v>796</v>
      </c>
      <c r="B222" s="645" t="s">
        <v>27</v>
      </c>
      <c r="C222" s="651">
        <v>28577</v>
      </c>
      <c r="D222" s="652">
        <v>41200</v>
      </c>
      <c r="E222" s="473" t="s">
        <v>501</v>
      </c>
      <c r="F222" s="1029" t="s">
        <v>50</v>
      </c>
      <c r="G222" s="472" t="s">
        <v>395</v>
      </c>
      <c r="H222" s="472" t="s">
        <v>392</v>
      </c>
      <c r="I222" s="474" t="s">
        <v>22</v>
      </c>
      <c r="J222" s="474" t="s">
        <v>28</v>
      </c>
      <c r="K222" s="475" t="s">
        <v>43</v>
      </c>
      <c r="L222" s="861" t="str">
        <f t="shared" si="15"/>
        <v>salarié</v>
      </c>
      <c r="M222" s="485" t="s">
        <v>42</v>
      </c>
      <c r="N222" s="485" t="s">
        <v>1</v>
      </c>
      <c r="O222" s="486">
        <v>1</v>
      </c>
      <c r="P222" s="481" t="s">
        <v>59</v>
      </c>
      <c r="Q222" s="482" t="s">
        <v>33</v>
      </c>
      <c r="R222" s="478">
        <v>1</v>
      </c>
      <c r="S222" s="479">
        <v>14</v>
      </c>
      <c r="T222" s="1">
        <v>31840</v>
      </c>
      <c r="U222" s="656">
        <v>12623.752744412501</v>
      </c>
      <c r="V222" s="479">
        <v>250</v>
      </c>
      <c r="W222" s="483">
        <v>1</v>
      </c>
      <c r="X222" s="476">
        <v>0</v>
      </c>
      <c r="Y222" s="476">
        <v>1</v>
      </c>
      <c r="Z222" s="476">
        <v>0</v>
      </c>
      <c r="AA222" s="646" t="s">
        <v>998</v>
      </c>
      <c r="AB222" s="647">
        <f t="shared" si="16"/>
        <v>42</v>
      </c>
      <c r="AC222" s="647">
        <f t="shared" si="17"/>
        <v>7</v>
      </c>
      <c r="AD222" s="648" t="str">
        <f>IF(AB222="","",VLOOKUP(AB222,trancheage[],2,TRUE))</f>
        <v>40 à 49 ans</v>
      </c>
      <c r="AE222" s="648" t="str">
        <f>IFERROR(VLOOKUP(AC222,trancheanciennete[],2,TRUE),"")</f>
        <v>2 : 5-9</v>
      </c>
      <c r="AF222" s="649" t="str">
        <f>IF(T222&gt;0,VLOOKUP(T222,Trancheremuneration[],2,TRUE),"")</f>
        <v>5 : + de 23 000</v>
      </c>
      <c r="AG222" s="650">
        <f t="shared" si="18"/>
        <v>12873.752744412501</v>
      </c>
      <c r="AH222" s="631" t="str">
        <f t="shared" si="19"/>
        <v>catégorie 1</v>
      </c>
      <c r="AI222" s="631"/>
    </row>
    <row r="223" spans="1:35" ht="14">
      <c r="A223" t="s">
        <v>797</v>
      </c>
      <c r="B223" s="645" t="s">
        <v>27</v>
      </c>
      <c r="C223" s="651">
        <v>32280</v>
      </c>
      <c r="D223" s="652">
        <v>41212</v>
      </c>
      <c r="E223" s="473" t="s">
        <v>501</v>
      </c>
      <c r="F223" s="1029" t="s">
        <v>3</v>
      </c>
      <c r="G223" s="472" t="s">
        <v>397</v>
      </c>
      <c r="H223" s="472" t="s">
        <v>392</v>
      </c>
      <c r="I223" s="474" t="s">
        <v>22</v>
      </c>
      <c r="J223" s="474" t="s">
        <v>28</v>
      </c>
      <c r="K223" s="475" t="s">
        <v>43</v>
      </c>
      <c r="L223" s="861" t="str">
        <f t="shared" si="15"/>
        <v>salarié</v>
      </c>
      <c r="M223" s="485" t="s">
        <v>48</v>
      </c>
      <c r="N223" s="485" t="s">
        <v>1</v>
      </c>
      <c r="O223" s="486">
        <v>1</v>
      </c>
      <c r="P223" s="481" t="s">
        <v>59</v>
      </c>
      <c r="Q223" s="482" t="s">
        <v>33</v>
      </c>
      <c r="R223" s="478">
        <v>1</v>
      </c>
      <c r="S223" s="479">
        <v>14</v>
      </c>
      <c r="T223" s="1">
        <v>10720</v>
      </c>
      <c r="U223" s="656">
        <v>31945.148853956838</v>
      </c>
      <c r="V223" s="479">
        <v>250</v>
      </c>
      <c r="W223" s="483">
        <v>1</v>
      </c>
      <c r="X223" s="476">
        <v>0</v>
      </c>
      <c r="Y223" s="476">
        <v>0</v>
      </c>
      <c r="Z223" s="476">
        <v>0</v>
      </c>
      <c r="AA223" s="646" t="s">
        <v>998</v>
      </c>
      <c r="AB223" s="647">
        <f t="shared" si="16"/>
        <v>32</v>
      </c>
      <c r="AC223" s="647">
        <f t="shared" si="17"/>
        <v>7</v>
      </c>
      <c r="AD223" s="648" t="str">
        <f>IF(AB223="","",VLOOKUP(AB223,trancheage[],2,TRUE))</f>
        <v>30 à 39 ans</v>
      </c>
      <c r="AE223" s="648" t="str">
        <f>IFERROR(VLOOKUP(AC223,trancheanciennete[],2,TRUE),"")</f>
        <v>2 : 5-9</v>
      </c>
      <c r="AF223" s="649" t="str">
        <f>IF(T223&gt;0,VLOOKUP(T223,Trancheremuneration[],2,TRUE),"")</f>
        <v>1:7 000-14 000</v>
      </c>
      <c r="AG223" s="650">
        <f t="shared" si="18"/>
        <v>32195.148853956838</v>
      </c>
      <c r="AH223" s="631" t="str">
        <f t="shared" si="19"/>
        <v>catégorie 1</v>
      </c>
      <c r="AI223" s="631"/>
    </row>
    <row r="224" spans="1:35" ht="14">
      <c r="A224" t="s">
        <v>798</v>
      </c>
      <c r="B224" s="645" t="s">
        <v>27</v>
      </c>
      <c r="C224" s="651">
        <v>31650</v>
      </c>
      <c r="D224" s="652">
        <v>41224</v>
      </c>
      <c r="E224" s="473" t="s">
        <v>504</v>
      </c>
      <c r="F224" s="1029" t="s">
        <v>3</v>
      </c>
      <c r="G224" s="472" t="s">
        <v>398</v>
      </c>
      <c r="H224" s="472" t="s">
        <v>394</v>
      </c>
      <c r="I224" s="474" t="s">
        <v>22</v>
      </c>
      <c r="J224" s="474" t="s">
        <v>28</v>
      </c>
      <c r="K224" s="475" t="s">
        <v>56</v>
      </c>
      <c r="L224" s="861" t="str">
        <f t="shared" si="15"/>
        <v>salarié</v>
      </c>
      <c r="M224" s="485" t="s">
        <v>48</v>
      </c>
      <c r="N224" s="485" t="s">
        <v>1</v>
      </c>
      <c r="O224" s="486">
        <v>0.5</v>
      </c>
      <c r="P224" s="481" t="s">
        <v>59</v>
      </c>
      <c r="Q224" s="482" t="s">
        <v>31</v>
      </c>
      <c r="R224" s="478">
        <v>0</v>
      </c>
      <c r="S224" s="479">
        <v>0</v>
      </c>
      <c r="T224" s="1">
        <v>26800</v>
      </c>
      <c r="U224" s="656">
        <v>16119.789856479762</v>
      </c>
      <c r="V224" s="479">
        <v>250</v>
      </c>
      <c r="W224" s="483">
        <v>0</v>
      </c>
      <c r="X224" s="476">
        <v>1</v>
      </c>
      <c r="Y224" s="476">
        <v>0</v>
      </c>
      <c r="Z224" s="476">
        <v>0</v>
      </c>
      <c r="AA224" s="646" t="s">
        <v>998</v>
      </c>
      <c r="AB224" s="647">
        <f t="shared" si="16"/>
        <v>34</v>
      </c>
      <c r="AC224" s="647">
        <f t="shared" si="17"/>
        <v>7</v>
      </c>
      <c r="AD224" s="648" t="str">
        <f>IF(AB224="","",VLOOKUP(AB224,trancheage[],2,TRUE))</f>
        <v>30 à 39 ans</v>
      </c>
      <c r="AE224" s="648" t="str">
        <f>IFERROR(VLOOKUP(AC224,trancheanciennete[],2,TRUE),"")</f>
        <v>2 : 5-9</v>
      </c>
      <c r="AF224" s="649" t="str">
        <f>IF(T224&gt;0,VLOOKUP(T224,Trancheremuneration[],2,TRUE),"")</f>
        <v>5 : + de 23 000</v>
      </c>
      <c r="AG224" s="650">
        <f t="shared" si="18"/>
        <v>24429.68478471964</v>
      </c>
      <c r="AH224" s="631" t="str">
        <f t="shared" si="19"/>
        <v>catégorie 3</v>
      </c>
      <c r="AI224" s="631"/>
    </row>
    <row r="225" spans="1:35" ht="14">
      <c r="A225" t="s">
        <v>581</v>
      </c>
      <c r="B225" s="645" t="s">
        <v>27</v>
      </c>
      <c r="C225" s="651">
        <v>31781</v>
      </c>
      <c r="D225" s="652">
        <v>41239</v>
      </c>
      <c r="E225" s="473" t="s">
        <v>503</v>
      </c>
      <c r="F225" s="1029" t="s">
        <v>3</v>
      </c>
      <c r="G225" s="472" t="s">
        <v>399</v>
      </c>
      <c r="H225" s="472" t="s">
        <v>394</v>
      </c>
      <c r="I225" s="474" t="s">
        <v>22</v>
      </c>
      <c r="J225" s="474" t="s">
        <v>28</v>
      </c>
      <c r="K225" s="475" t="s">
        <v>35</v>
      </c>
      <c r="L225" s="861" t="str">
        <f t="shared" si="15"/>
        <v>salarié</v>
      </c>
      <c r="M225" s="485" t="s">
        <v>48</v>
      </c>
      <c r="N225" s="485" t="s">
        <v>1</v>
      </c>
      <c r="O225" s="486">
        <v>0.8</v>
      </c>
      <c r="P225" s="481" t="s">
        <v>59</v>
      </c>
      <c r="Q225" s="482" t="s">
        <v>31</v>
      </c>
      <c r="R225" s="478">
        <v>0</v>
      </c>
      <c r="S225" s="479">
        <v>0</v>
      </c>
      <c r="T225" s="1">
        <v>16000</v>
      </c>
      <c r="U225" s="656">
        <v>46799.381113835698</v>
      </c>
      <c r="V225" s="479">
        <v>250</v>
      </c>
      <c r="W225" s="483">
        <v>0</v>
      </c>
      <c r="X225" s="476">
        <v>1</v>
      </c>
      <c r="Y225" s="476">
        <v>0</v>
      </c>
      <c r="Z225" s="476">
        <v>0</v>
      </c>
      <c r="AA225" s="646" t="s">
        <v>998</v>
      </c>
      <c r="AB225" s="647">
        <f t="shared" si="16"/>
        <v>33</v>
      </c>
      <c r="AC225" s="647">
        <f t="shared" si="17"/>
        <v>7</v>
      </c>
      <c r="AD225" s="648" t="str">
        <f>IF(AB225="","",VLOOKUP(AB225,trancheage[],2,TRUE))</f>
        <v>30 à 39 ans</v>
      </c>
      <c r="AE225" s="648" t="str">
        <f>IFERROR(VLOOKUP(AC225,trancheanciennete[],2,TRUE),"")</f>
        <v>2 : 5-9</v>
      </c>
      <c r="AF225" s="649" t="str">
        <f>IF(T225&gt;0,VLOOKUP(T225,Trancheremuneration[],2,TRUE),"")</f>
        <v>2:14 000-17 000</v>
      </c>
      <c r="AG225" s="650">
        <f t="shared" si="18"/>
        <v>56409.257336602837</v>
      </c>
      <c r="AH225" s="631" t="str">
        <f t="shared" si="19"/>
        <v>catégorie 3</v>
      </c>
      <c r="AI225" s="631"/>
    </row>
    <row r="226" spans="1:35" ht="14">
      <c r="A226" t="s">
        <v>799</v>
      </c>
      <c r="B226" s="645" t="s">
        <v>27</v>
      </c>
      <c r="C226" s="651">
        <v>23630</v>
      </c>
      <c r="D226" s="652">
        <v>41260</v>
      </c>
      <c r="E226" s="473" t="s">
        <v>501</v>
      </c>
      <c r="F226" s="1029" t="s">
        <v>3</v>
      </c>
      <c r="G226" s="472" t="s">
        <v>395</v>
      </c>
      <c r="H226" s="472" t="s">
        <v>393</v>
      </c>
      <c r="I226" s="474" t="s">
        <v>22</v>
      </c>
      <c r="J226" s="474" t="s">
        <v>28</v>
      </c>
      <c r="K226" s="475" t="s">
        <v>43</v>
      </c>
      <c r="L226" s="861" t="str">
        <f t="shared" si="15"/>
        <v>salarié</v>
      </c>
      <c r="M226" s="485" t="s">
        <v>48</v>
      </c>
      <c r="N226" s="485" t="s">
        <v>1</v>
      </c>
      <c r="O226" s="486">
        <v>0.8</v>
      </c>
      <c r="P226" s="481" t="s">
        <v>59</v>
      </c>
      <c r="Q226" s="482" t="s">
        <v>33</v>
      </c>
      <c r="R226" s="478">
        <v>1</v>
      </c>
      <c r="S226" s="479">
        <v>21</v>
      </c>
      <c r="T226" s="1">
        <v>47200</v>
      </c>
      <c r="U226" s="656">
        <v>46969.329868438814</v>
      </c>
      <c r="V226" s="479">
        <v>250</v>
      </c>
      <c r="W226" s="483">
        <v>1</v>
      </c>
      <c r="X226" s="476">
        <v>0</v>
      </c>
      <c r="Y226" s="476">
        <v>0</v>
      </c>
      <c r="Z226" s="476">
        <v>0</v>
      </c>
      <c r="AA226" s="646" t="s">
        <v>998</v>
      </c>
      <c r="AB226" s="647">
        <f t="shared" si="16"/>
        <v>55</v>
      </c>
      <c r="AC226" s="647">
        <f t="shared" si="17"/>
        <v>7</v>
      </c>
      <c r="AD226" s="648" t="str">
        <f>IF(AB226="","",VLOOKUP(AB226,trancheage[],2,TRUE))</f>
        <v>50 ans et plus</v>
      </c>
      <c r="AE226" s="648" t="str">
        <f>IFERROR(VLOOKUP(AC226,trancheanciennete[],2,TRUE),"")</f>
        <v>2 : 5-9</v>
      </c>
      <c r="AF226" s="649" t="str">
        <f>IF(T226&gt;0,VLOOKUP(T226,Trancheremuneration[],2,TRUE),"")</f>
        <v>5 : + de 23 000</v>
      </c>
      <c r="AG226" s="650">
        <f t="shared" si="18"/>
        <v>56613.195842126574</v>
      </c>
      <c r="AH226" s="631" t="str">
        <f t="shared" si="19"/>
        <v>catégorie 2</v>
      </c>
      <c r="AI226" s="631"/>
    </row>
    <row r="227" spans="1:35" ht="14">
      <c r="A227" t="s">
        <v>800</v>
      </c>
      <c r="B227" s="645" t="s">
        <v>47</v>
      </c>
      <c r="C227" s="651">
        <v>31202</v>
      </c>
      <c r="D227" s="652">
        <v>41262</v>
      </c>
      <c r="E227" s="473" t="s">
        <v>501</v>
      </c>
      <c r="F227" s="1029" t="s">
        <v>50</v>
      </c>
      <c r="G227" s="472" t="s">
        <v>395</v>
      </c>
      <c r="H227" s="472" t="s">
        <v>393</v>
      </c>
      <c r="I227" s="474" t="s">
        <v>22</v>
      </c>
      <c r="J227" s="474" t="s">
        <v>29</v>
      </c>
      <c r="K227" s="475" t="s">
        <v>43</v>
      </c>
      <c r="L227" s="861" t="str">
        <f t="shared" si="15"/>
        <v>salarié</v>
      </c>
      <c r="M227" s="485" t="s">
        <v>48</v>
      </c>
      <c r="N227" s="485" t="s">
        <v>1</v>
      </c>
      <c r="O227" s="486">
        <v>0.8</v>
      </c>
      <c r="P227" s="481" t="s">
        <v>59</v>
      </c>
      <c r="Q227" s="482" t="s">
        <v>32</v>
      </c>
      <c r="R227" s="478">
        <v>0</v>
      </c>
      <c r="S227" s="479">
        <v>0</v>
      </c>
      <c r="T227" s="1">
        <v>40000</v>
      </c>
      <c r="U227" s="656">
        <v>30976.765468004931</v>
      </c>
      <c r="V227" s="479">
        <v>250</v>
      </c>
      <c r="W227" s="483">
        <v>0</v>
      </c>
      <c r="X227" s="476">
        <v>1</v>
      </c>
      <c r="Y227" s="476">
        <v>0</v>
      </c>
      <c r="Z227" s="476">
        <v>0</v>
      </c>
      <c r="AA227" s="646" t="s">
        <v>998</v>
      </c>
      <c r="AB227" s="647">
        <f t="shared" si="16"/>
        <v>35</v>
      </c>
      <c r="AC227" s="647">
        <f t="shared" si="17"/>
        <v>7</v>
      </c>
      <c r="AD227" s="648" t="str">
        <f>IF(AB227="","",VLOOKUP(AB227,trancheage[],2,TRUE))</f>
        <v>30 à 39 ans</v>
      </c>
      <c r="AE227" s="648" t="str">
        <f>IFERROR(VLOOKUP(AC227,trancheanciennete[],2,TRUE),"")</f>
        <v>2 : 5-9</v>
      </c>
      <c r="AF227" s="649" t="str">
        <f>IF(T227&gt;0,VLOOKUP(T227,Trancheremuneration[],2,TRUE),"")</f>
        <v>5 : + de 23 000</v>
      </c>
      <c r="AG227" s="650">
        <f t="shared" si="18"/>
        <v>37422.118561605916</v>
      </c>
      <c r="AH227" s="631" t="str">
        <f t="shared" si="19"/>
        <v>catégorie 2</v>
      </c>
      <c r="AI227" s="631"/>
    </row>
    <row r="228" spans="1:35" ht="14">
      <c r="A228" t="s">
        <v>801</v>
      </c>
      <c r="B228" s="645" t="s">
        <v>27</v>
      </c>
      <c r="C228" s="651">
        <v>32670</v>
      </c>
      <c r="D228" s="652">
        <v>41268</v>
      </c>
      <c r="E228" s="473" t="s">
        <v>501</v>
      </c>
      <c r="F228" s="1029" t="s">
        <v>50</v>
      </c>
      <c r="G228" s="472" t="s">
        <v>396</v>
      </c>
      <c r="H228" s="472" t="s">
        <v>393</v>
      </c>
      <c r="I228" s="474" t="s">
        <v>38</v>
      </c>
      <c r="J228" s="474" t="s">
        <v>284</v>
      </c>
      <c r="K228" s="475" t="s">
        <v>37</v>
      </c>
      <c r="L228" s="861" t="str">
        <f t="shared" si="15"/>
        <v>salarié</v>
      </c>
      <c r="M228" s="485" t="s">
        <v>48</v>
      </c>
      <c r="N228" s="485" t="s">
        <v>1</v>
      </c>
      <c r="O228" s="484">
        <v>0.8</v>
      </c>
      <c r="P228" s="476" t="s">
        <v>58</v>
      </c>
      <c r="Q228" s="477" t="s">
        <v>34</v>
      </c>
      <c r="R228" s="478">
        <v>1</v>
      </c>
      <c r="S228" s="479">
        <v>7</v>
      </c>
      <c r="T228" s="1">
        <v>36880</v>
      </c>
      <c r="U228" s="656">
        <v>52605.998578252838</v>
      </c>
      <c r="V228" s="479">
        <v>250</v>
      </c>
      <c r="W228" s="483">
        <v>1</v>
      </c>
      <c r="X228" s="476">
        <v>0</v>
      </c>
      <c r="Y228" s="476">
        <v>1</v>
      </c>
      <c r="Z228" s="476">
        <v>0</v>
      </c>
      <c r="AA228" s="646" t="s">
        <v>998</v>
      </c>
      <c r="AB228" s="647">
        <f t="shared" si="16"/>
        <v>31</v>
      </c>
      <c r="AC228" s="647">
        <f t="shared" si="17"/>
        <v>7</v>
      </c>
      <c r="AD228" s="648" t="str">
        <f>IF(AB228="","",VLOOKUP(AB228,trancheage[],2,TRUE))</f>
        <v>30 à 39 ans</v>
      </c>
      <c r="AE228" s="648" t="str">
        <f>IFERROR(VLOOKUP(AC228,trancheanciennete[],2,TRUE),"")</f>
        <v>2 : 5-9</v>
      </c>
      <c r="AF228" s="649" t="str">
        <f>IF(T228&gt;0,VLOOKUP(T228,Trancheremuneration[],2,TRUE),"")</f>
        <v>5 : + de 23 000</v>
      </c>
      <c r="AG228" s="650">
        <f t="shared" si="18"/>
        <v>63377.198293903406</v>
      </c>
      <c r="AH228" s="631" t="str">
        <f t="shared" si="19"/>
        <v>catégorie 2</v>
      </c>
      <c r="AI228" s="631"/>
    </row>
    <row r="229" spans="1:35" ht="14">
      <c r="A229" t="s">
        <v>802</v>
      </c>
      <c r="B229" s="645" t="s">
        <v>27</v>
      </c>
      <c r="C229" s="651">
        <v>28362</v>
      </c>
      <c r="D229" s="652">
        <v>41297</v>
      </c>
      <c r="E229" s="473" t="s">
        <v>502</v>
      </c>
      <c r="F229" s="1029" t="s">
        <v>3</v>
      </c>
      <c r="G229" s="472" t="s">
        <v>397</v>
      </c>
      <c r="H229" s="472" t="s">
        <v>393</v>
      </c>
      <c r="I229" s="474" t="s">
        <v>22</v>
      </c>
      <c r="J229" s="474" t="s">
        <v>29</v>
      </c>
      <c r="K229" s="475" t="s">
        <v>43</v>
      </c>
      <c r="L229" s="861" t="str">
        <f t="shared" si="15"/>
        <v>salarié</v>
      </c>
      <c r="M229" s="485" t="s">
        <v>48</v>
      </c>
      <c r="N229" s="485" t="s">
        <v>0</v>
      </c>
      <c r="O229" s="484">
        <v>0.5</v>
      </c>
      <c r="P229" s="476" t="s">
        <v>58</v>
      </c>
      <c r="Q229" s="477" t="s">
        <v>30</v>
      </c>
      <c r="R229" s="478">
        <v>0</v>
      </c>
      <c r="S229" s="479">
        <v>7</v>
      </c>
      <c r="T229" s="1">
        <v>64000</v>
      </c>
      <c r="U229" s="656">
        <v>46333.881914424732</v>
      </c>
      <c r="V229" s="479">
        <v>250</v>
      </c>
      <c r="W229" s="483">
        <v>0</v>
      </c>
      <c r="X229" s="476">
        <v>0</v>
      </c>
      <c r="Y229" s="476">
        <v>1</v>
      </c>
      <c r="Z229" s="476">
        <v>0</v>
      </c>
      <c r="AA229" s="646" t="s">
        <v>998</v>
      </c>
      <c r="AB229" s="647">
        <f t="shared" si="16"/>
        <v>43</v>
      </c>
      <c r="AC229" s="647">
        <f t="shared" si="17"/>
        <v>7</v>
      </c>
      <c r="AD229" s="648" t="str">
        <f>IF(AB229="","",VLOOKUP(AB229,trancheage[],2,TRUE))</f>
        <v>40 à 49 ans</v>
      </c>
      <c r="AE229" s="648" t="str">
        <f>IFERROR(VLOOKUP(AC229,trancheanciennete[],2,TRUE),"")</f>
        <v>2 : 5-9</v>
      </c>
      <c r="AF229" s="649" t="str">
        <f>IF(T229&gt;0,VLOOKUP(T229,Trancheremuneration[],2,TRUE),"")</f>
        <v>5 : + de 23 000</v>
      </c>
      <c r="AG229" s="650">
        <f t="shared" si="18"/>
        <v>69750.822871637094</v>
      </c>
      <c r="AH229" s="631" t="str">
        <f t="shared" si="19"/>
        <v>catégorie 2</v>
      </c>
      <c r="AI229" s="631"/>
    </row>
    <row r="230" spans="1:35" ht="14">
      <c r="A230" t="s">
        <v>803</v>
      </c>
      <c r="B230" s="645" t="s">
        <v>27</v>
      </c>
      <c r="C230" s="651">
        <v>34775</v>
      </c>
      <c r="D230" s="652">
        <v>41316</v>
      </c>
      <c r="E230" s="473" t="s">
        <v>505</v>
      </c>
      <c r="F230" s="1029" t="s">
        <v>3</v>
      </c>
      <c r="G230" s="472" t="s">
        <v>398</v>
      </c>
      <c r="H230" s="472" t="s">
        <v>393</v>
      </c>
      <c r="I230" s="474" t="s">
        <v>22</v>
      </c>
      <c r="J230" s="474" t="s">
        <v>29</v>
      </c>
      <c r="K230" s="475" t="s">
        <v>43</v>
      </c>
      <c r="L230" s="861" t="str">
        <f t="shared" si="15"/>
        <v>salarié</v>
      </c>
      <c r="M230" s="485" t="s">
        <v>48</v>
      </c>
      <c r="N230" s="485" t="s">
        <v>0</v>
      </c>
      <c r="O230" s="486">
        <v>0.8</v>
      </c>
      <c r="P230" s="481" t="s">
        <v>58</v>
      </c>
      <c r="Q230" s="482" t="s">
        <v>33</v>
      </c>
      <c r="R230" s="478">
        <v>1</v>
      </c>
      <c r="S230" s="479">
        <v>14</v>
      </c>
      <c r="T230" s="1">
        <v>47920</v>
      </c>
      <c r="U230" s="656">
        <v>17727.997319887167</v>
      </c>
      <c r="V230" s="479">
        <v>500</v>
      </c>
      <c r="W230" s="483">
        <v>1</v>
      </c>
      <c r="X230" s="476">
        <v>0</v>
      </c>
      <c r="Y230" s="476">
        <v>0</v>
      </c>
      <c r="Z230" s="476">
        <v>1</v>
      </c>
      <c r="AA230" s="646" t="s">
        <v>998</v>
      </c>
      <c r="AB230" s="647">
        <f t="shared" si="16"/>
        <v>25</v>
      </c>
      <c r="AC230" s="647">
        <f t="shared" si="17"/>
        <v>7</v>
      </c>
      <c r="AD230" s="648" t="str">
        <f>IF(AB230="","",VLOOKUP(AB230,trancheage[],2,TRUE))</f>
        <v>Moins de 30 ans</v>
      </c>
      <c r="AE230" s="648" t="str">
        <f>IFERROR(VLOOKUP(AC230,trancheanciennete[],2,TRUE),"")</f>
        <v>2 : 5-9</v>
      </c>
      <c r="AF230" s="649" t="str">
        <f>IF(T230&gt;0,VLOOKUP(T230,Trancheremuneration[],2,TRUE),"")</f>
        <v>5 : + de 23 000</v>
      </c>
      <c r="AG230" s="650">
        <f t="shared" si="18"/>
        <v>21773.596783864599</v>
      </c>
      <c r="AH230" s="631" t="str">
        <f t="shared" si="19"/>
        <v>catégorie 2</v>
      </c>
      <c r="AI230" s="631"/>
    </row>
    <row r="231" spans="1:35" ht="14">
      <c r="A231" t="s">
        <v>804</v>
      </c>
      <c r="B231" s="645" t="s">
        <v>27</v>
      </c>
      <c r="C231" s="651">
        <v>33513</v>
      </c>
      <c r="D231" s="652">
        <v>41323</v>
      </c>
      <c r="E231" s="473" t="s">
        <v>501</v>
      </c>
      <c r="F231" s="1029" t="s">
        <v>50</v>
      </c>
      <c r="G231" s="472" t="s">
        <v>399</v>
      </c>
      <c r="H231" s="472" t="s">
        <v>392</v>
      </c>
      <c r="I231" s="474" t="s">
        <v>23</v>
      </c>
      <c r="J231" s="474" t="s">
        <v>18</v>
      </c>
      <c r="K231" s="475" t="s">
        <v>36</v>
      </c>
      <c r="L231" s="861" t="str">
        <f t="shared" si="15"/>
        <v>salarié</v>
      </c>
      <c r="M231" s="485" t="s">
        <v>48</v>
      </c>
      <c r="N231" s="485" t="s">
        <v>1</v>
      </c>
      <c r="O231" s="486">
        <v>0.8</v>
      </c>
      <c r="P231" s="481" t="s">
        <v>59</v>
      </c>
      <c r="Q231" s="482" t="s">
        <v>31</v>
      </c>
      <c r="R231" s="478">
        <v>0</v>
      </c>
      <c r="S231" s="479">
        <v>7</v>
      </c>
      <c r="T231" s="1">
        <v>17200</v>
      </c>
      <c r="U231" s="656">
        <v>41924.283295994217</v>
      </c>
      <c r="V231" s="479">
        <v>250</v>
      </c>
      <c r="W231" s="483">
        <v>0</v>
      </c>
      <c r="X231" s="476">
        <v>1</v>
      </c>
      <c r="Y231" s="476">
        <v>1</v>
      </c>
      <c r="Z231" s="476">
        <v>1</v>
      </c>
      <c r="AA231" s="646" t="s">
        <v>998</v>
      </c>
      <c r="AB231" s="647">
        <f t="shared" si="16"/>
        <v>28</v>
      </c>
      <c r="AC231" s="647">
        <f t="shared" si="17"/>
        <v>7</v>
      </c>
      <c r="AD231" s="648" t="str">
        <f>IF(AB231="","",VLOOKUP(AB231,trancheage[],2,TRUE))</f>
        <v>Moins de 30 ans</v>
      </c>
      <c r="AE231" s="648" t="str">
        <f>IFERROR(VLOOKUP(AC231,trancheanciennete[],2,TRUE),"")</f>
        <v>2 : 5-9</v>
      </c>
      <c r="AF231" s="649" t="str">
        <f>IF(T231&gt;0,VLOOKUP(T231,Trancheremuneration[],2,TRUE),"")</f>
        <v>3:17 000-20 000</v>
      </c>
      <c r="AG231" s="650">
        <f t="shared" si="18"/>
        <v>50559.139955193059</v>
      </c>
      <c r="AH231" s="631" t="str">
        <f t="shared" si="19"/>
        <v>catégorie 1</v>
      </c>
      <c r="AI231" s="631"/>
    </row>
    <row r="232" spans="1:35" ht="14">
      <c r="A232" t="s">
        <v>587</v>
      </c>
      <c r="B232" s="645" t="s">
        <v>27</v>
      </c>
      <c r="C232" s="651">
        <v>33413</v>
      </c>
      <c r="D232" s="652">
        <v>41391</v>
      </c>
      <c r="E232" s="473" t="s">
        <v>501</v>
      </c>
      <c r="F232" s="1029" t="s">
        <v>3</v>
      </c>
      <c r="G232" s="472" t="s">
        <v>397</v>
      </c>
      <c r="H232" s="472" t="s">
        <v>392</v>
      </c>
      <c r="I232" s="474" t="s">
        <v>22</v>
      </c>
      <c r="J232" s="474" t="s">
        <v>29</v>
      </c>
      <c r="K232" s="475" t="s">
        <v>35</v>
      </c>
      <c r="L232" s="861" t="str">
        <f t="shared" si="15"/>
        <v>salarié</v>
      </c>
      <c r="M232" s="485" t="s">
        <v>48</v>
      </c>
      <c r="N232" s="485" t="s">
        <v>1</v>
      </c>
      <c r="O232" s="486">
        <v>1</v>
      </c>
      <c r="P232" s="481" t="s">
        <v>59</v>
      </c>
      <c r="Q232" s="482" t="s">
        <v>30</v>
      </c>
      <c r="R232" s="478">
        <v>0</v>
      </c>
      <c r="S232" s="479">
        <v>7</v>
      </c>
      <c r="T232" s="1">
        <v>37360</v>
      </c>
      <c r="U232" s="656">
        <v>26156.023906499271</v>
      </c>
      <c r="V232" s="479">
        <v>500</v>
      </c>
      <c r="W232" s="483">
        <v>0</v>
      </c>
      <c r="X232" s="476">
        <v>0</v>
      </c>
      <c r="Y232" s="476">
        <v>0</v>
      </c>
      <c r="Z232" s="476">
        <v>1</v>
      </c>
      <c r="AA232" s="646" t="s">
        <v>999</v>
      </c>
      <c r="AB232" s="647">
        <f t="shared" si="16"/>
        <v>29</v>
      </c>
      <c r="AC232" s="647">
        <f t="shared" si="17"/>
        <v>7</v>
      </c>
      <c r="AD232" s="648" t="str">
        <f>IF(AB232="","",VLOOKUP(AB232,trancheage[],2,TRUE))</f>
        <v>Moins de 30 ans</v>
      </c>
      <c r="AE232" s="648" t="str">
        <f>IFERROR(VLOOKUP(AC232,trancheanciennete[],2,TRUE),"")</f>
        <v>2 : 5-9</v>
      </c>
      <c r="AF232" s="649" t="str">
        <f>IF(T232&gt;0,VLOOKUP(T232,Trancheremuneration[],2,TRUE),"")</f>
        <v>5 : + de 23 000</v>
      </c>
      <c r="AG232" s="650">
        <f t="shared" si="18"/>
        <v>26656.023906499271</v>
      </c>
      <c r="AH232" s="631" t="str">
        <f t="shared" si="19"/>
        <v>catégorie 1</v>
      </c>
      <c r="AI232" s="631"/>
    </row>
    <row r="233" spans="1:35" ht="14">
      <c r="A233" t="s">
        <v>805</v>
      </c>
      <c r="B233" s="645" t="s">
        <v>27</v>
      </c>
      <c r="C233" s="651">
        <v>35670</v>
      </c>
      <c r="D233" s="652">
        <v>41417</v>
      </c>
      <c r="E233" s="473" t="s">
        <v>505</v>
      </c>
      <c r="F233" s="1029" t="s">
        <v>3</v>
      </c>
      <c r="G233" s="472" t="s">
        <v>398</v>
      </c>
      <c r="H233" s="472" t="s">
        <v>392</v>
      </c>
      <c r="I233" s="474" t="s">
        <v>22</v>
      </c>
      <c r="J233" s="474" t="s">
        <v>29</v>
      </c>
      <c r="K233" s="475" t="s">
        <v>43</v>
      </c>
      <c r="L233" s="861" t="str">
        <f t="shared" si="15"/>
        <v>salarié</v>
      </c>
      <c r="M233" s="485" t="s">
        <v>48</v>
      </c>
      <c r="N233" s="485" t="s">
        <v>0</v>
      </c>
      <c r="O233" s="486">
        <v>1</v>
      </c>
      <c r="P233" s="481" t="s">
        <v>58</v>
      </c>
      <c r="Q233" s="482" t="s">
        <v>34</v>
      </c>
      <c r="R233" s="478">
        <v>1</v>
      </c>
      <c r="S233" s="479">
        <v>7</v>
      </c>
      <c r="T233" s="1">
        <v>25720</v>
      </c>
      <c r="U233" s="656">
        <v>9589.3240835680372</v>
      </c>
      <c r="V233" s="479">
        <v>250</v>
      </c>
      <c r="W233" s="483">
        <v>1</v>
      </c>
      <c r="X233" s="476">
        <v>0</v>
      </c>
      <c r="Y233" s="476">
        <v>1</v>
      </c>
      <c r="Z233" s="476">
        <v>0</v>
      </c>
      <c r="AA233" s="646" t="s">
        <v>999</v>
      </c>
      <c r="AB233" s="647">
        <f t="shared" si="16"/>
        <v>23</v>
      </c>
      <c r="AC233" s="647">
        <f t="shared" si="17"/>
        <v>7</v>
      </c>
      <c r="AD233" s="648" t="str">
        <f>IF(AB233="","",VLOOKUP(AB233,trancheage[],2,TRUE))</f>
        <v>Moins de 30 ans</v>
      </c>
      <c r="AE233" s="648" t="str">
        <f>IFERROR(VLOOKUP(AC233,trancheanciennete[],2,TRUE),"")</f>
        <v>2 : 5-9</v>
      </c>
      <c r="AF233" s="649" t="str">
        <f>IF(T233&gt;0,VLOOKUP(T233,Trancheremuneration[],2,TRUE),"")</f>
        <v>5 : + de 23 000</v>
      </c>
      <c r="AG233" s="650">
        <f t="shared" si="18"/>
        <v>9839.3240835680372</v>
      </c>
      <c r="AH233" s="631" t="str">
        <f t="shared" si="19"/>
        <v>catégorie 1</v>
      </c>
      <c r="AI233" s="631"/>
    </row>
    <row r="234" spans="1:35" ht="14">
      <c r="A234" t="s">
        <v>596</v>
      </c>
      <c r="B234" s="645" t="s">
        <v>27</v>
      </c>
      <c r="C234" s="651">
        <v>23601</v>
      </c>
      <c r="D234" s="652">
        <v>41421</v>
      </c>
      <c r="E234" s="473" t="s">
        <v>501</v>
      </c>
      <c r="F234" s="1029" t="s">
        <v>3</v>
      </c>
      <c r="G234" s="472" t="s">
        <v>395</v>
      </c>
      <c r="H234" s="472" t="s">
        <v>392</v>
      </c>
      <c r="I234" s="474" t="s">
        <v>22</v>
      </c>
      <c r="J234" s="474" t="s">
        <v>29</v>
      </c>
      <c r="K234" s="475" t="s">
        <v>43</v>
      </c>
      <c r="L234" s="861" t="str">
        <f t="shared" si="15"/>
        <v>salarié</v>
      </c>
      <c r="M234" s="485" t="s">
        <v>42</v>
      </c>
      <c r="N234" s="485" t="s">
        <v>1</v>
      </c>
      <c r="O234" s="486">
        <v>1</v>
      </c>
      <c r="P234" s="481" t="s">
        <v>59</v>
      </c>
      <c r="Q234" s="482" t="s">
        <v>33</v>
      </c>
      <c r="R234" s="478">
        <v>1</v>
      </c>
      <c r="S234" s="479">
        <v>7</v>
      </c>
      <c r="T234" s="1">
        <v>11200</v>
      </c>
      <c r="U234" s="656">
        <v>16901.70308779904</v>
      </c>
      <c r="V234" s="479">
        <v>250</v>
      </c>
      <c r="W234" s="483">
        <v>1</v>
      </c>
      <c r="X234" s="476">
        <v>0</v>
      </c>
      <c r="Y234" s="476">
        <v>1</v>
      </c>
      <c r="Z234" s="476">
        <v>0</v>
      </c>
      <c r="AA234" s="646" t="s">
        <v>999</v>
      </c>
      <c r="AB234" s="647">
        <f t="shared" si="16"/>
        <v>56</v>
      </c>
      <c r="AC234" s="647">
        <f t="shared" si="17"/>
        <v>7</v>
      </c>
      <c r="AD234" s="648" t="str">
        <f>IF(AB234="","",VLOOKUP(AB234,trancheage[],2,TRUE))</f>
        <v>50 ans et plus</v>
      </c>
      <c r="AE234" s="648" t="str">
        <f>IFERROR(VLOOKUP(AC234,trancheanciennete[],2,TRUE),"")</f>
        <v>2 : 5-9</v>
      </c>
      <c r="AF234" s="649" t="str">
        <f>IF(T234&gt;0,VLOOKUP(T234,Trancheremuneration[],2,TRUE),"")</f>
        <v>1:7 000-14 000</v>
      </c>
      <c r="AG234" s="650">
        <f t="shared" si="18"/>
        <v>17151.70308779904</v>
      </c>
      <c r="AH234" s="631" t="str">
        <f t="shared" si="19"/>
        <v>catégorie 1</v>
      </c>
      <c r="AI234" s="631"/>
    </row>
    <row r="235" spans="1:35" ht="14">
      <c r="A235" t="s">
        <v>573</v>
      </c>
      <c r="B235" s="645" t="s">
        <v>27</v>
      </c>
      <c r="C235" s="651">
        <v>26545</v>
      </c>
      <c r="D235" s="652">
        <v>41432</v>
      </c>
      <c r="E235" s="473" t="s">
        <v>501</v>
      </c>
      <c r="F235" s="1029" t="s">
        <v>50</v>
      </c>
      <c r="G235" s="472" t="s">
        <v>395</v>
      </c>
      <c r="H235" s="472" t="s">
        <v>392</v>
      </c>
      <c r="I235" s="474" t="s">
        <v>23</v>
      </c>
      <c r="J235" s="474" t="s">
        <v>18</v>
      </c>
      <c r="K235" s="475" t="s">
        <v>36</v>
      </c>
      <c r="L235" s="861" t="str">
        <f t="shared" si="15"/>
        <v>salarié</v>
      </c>
      <c r="M235" s="485" t="s">
        <v>48</v>
      </c>
      <c r="N235" s="485" t="s">
        <v>0</v>
      </c>
      <c r="O235" s="486">
        <v>1</v>
      </c>
      <c r="P235" s="481" t="s">
        <v>58</v>
      </c>
      <c r="Q235" s="482" t="s">
        <v>34</v>
      </c>
      <c r="R235" s="478">
        <v>1</v>
      </c>
      <c r="S235" s="479">
        <v>28</v>
      </c>
      <c r="T235" s="1">
        <v>16720</v>
      </c>
      <c r="U235" s="656">
        <v>39335.705749000866</v>
      </c>
      <c r="V235" s="479">
        <v>250</v>
      </c>
      <c r="W235" s="483">
        <v>1</v>
      </c>
      <c r="X235" s="476">
        <v>0</v>
      </c>
      <c r="Y235" s="476">
        <v>1</v>
      </c>
      <c r="Z235" s="476">
        <v>0</v>
      </c>
      <c r="AA235" s="646" t="s">
        <v>999</v>
      </c>
      <c r="AB235" s="647">
        <f t="shared" si="16"/>
        <v>47</v>
      </c>
      <c r="AC235" s="647">
        <f t="shared" si="17"/>
        <v>7</v>
      </c>
      <c r="AD235" s="648" t="str">
        <f>IF(AB235="","",VLOOKUP(AB235,trancheage[],2,TRUE))</f>
        <v>40 à 49 ans</v>
      </c>
      <c r="AE235" s="648" t="str">
        <f>IFERROR(VLOOKUP(AC235,trancheanciennete[],2,TRUE),"")</f>
        <v>2 : 5-9</v>
      </c>
      <c r="AF235" s="649" t="str">
        <f>IF(T235&gt;0,VLOOKUP(T235,Trancheremuneration[],2,TRUE),"")</f>
        <v>2:14 000-17 000</v>
      </c>
      <c r="AG235" s="650">
        <f t="shared" si="18"/>
        <v>39585.705749000866</v>
      </c>
      <c r="AH235" s="631" t="str">
        <f t="shared" si="19"/>
        <v>catégorie 1</v>
      </c>
      <c r="AI235" s="631"/>
    </row>
    <row r="236" spans="1:35" ht="14">
      <c r="A236" t="s">
        <v>806</v>
      </c>
      <c r="B236" s="645" t="s">
        <v>27</v>
      </c>
      <c r="C236" s="651">
        <v>24705</v>
      </c>
      <c r="D236" s="652">
        <v>41434</v>
      </c>
      <c r="E236" s="473" t="s">
        <v>504</v>
      </c>
      <c r="F236" s="1029" t="s">
        <v>3</v>
      </c>
      <c r="G236" s="472" t="s">
        <v>395</v>
      </c>
      <c r="H236" s="472" t="s">
        <v>392</v>
      </c>
      <c r="I236" s="474" t="s">
        <v>22</v>
      </c>
      <c r="J236" s="474" t="s">
        <v>29</v>
      </c>
      <c r="K236" s="475" t="s">
        <v>43</v>
      </c>
      <c r="L236" s="861" t="str">
        <f t="shared" si="15"/>
        <v>salarié</v>
      </c>
      <c r="M236" s="485" t="s">
        <v>40</v>
      </c>
      <c r="N236" s="485" t="s">
        <v>0</v>
      </c>
      <c r="O236" s="486">
        <v>1</v>
      </c>
      <c r="P236" s="481" t="s">
        <v>58</v>
      </c>
      <c r="Q236" s="482" t="s">
        <v>33</v>
      </c>
      <c r="R236" s="478">
        <v>1</v>
      </c>
      <c r="S236" s="479">
        <v>14</v>
      </c>
      <c r="T236" s="1">
        <v>35440</v>
      </c>
      <c r="U236" s="656">
        <v>17663.602358845863</v>
      </c>
      <c r="V236" s="479">
        <v>250</v>
      </c>
      <c r="W236" s="483">
        <v>1</v>
      </c>
      <c r="X236" s="476">
        <v>0</v>
      </c>
      <c r="Y236" s="476">
        <v>0</v>
      </c>
      <c r="Z236" s="476">
        <v>0</v>
      </c>
      <c r="AA236" s="646" t="s">
        <v>999</v>
      </c>
      <c r="AB236" s="647">
        <f t="shared" si="16"/>
        <v>53</v>
      </c>
      <c r="AC236" s="647">
        <f t="shared" si="17"/>
        <v>7</v>
      </c>
      <c r="AD236" s="648" t="str">
        <f>IF(AB236="","",VLOOKUP(AB236,trancheage[],2,TRUE))</f>
        <v>50 ans et plus</v>
      </c>
      <c r="AE236" s="648" t="str">
        <f>IFERROR(VLOOKUP(AC236,trancheanciennete[],2,TRUE),"")</f>
        <v>2 : 5-9</v>
      </c>
      <c r="AF236" s="649" t="str">
        <f>IF(T236&gt;0,VLOOKUP(T236,Trancheremuneration[],2,TRUE),"")</f>
        <v>5 : + de 23 000</v>
      </c>
      <c r="AG236" s="650">
        <f t="shared" si="18"/>
        <v>17913.602358845863</v>
      </c>
      <c r="AH236" s="631" t="str">
        <f t="shared" si="19"/>
        <v>catégorie 1</v>
      </c>
      <c r="AI236" s="631"/>
    </row>
    <row r="237" spans="1:35" ht="14">
      <c r="A237" t="s">
        <v>807</v>
      </c>
      <c r="B237" s="645" t="s">
        <v>27</v>
      </c>
      <c r="C237" s="651">
        <v>34904</v>
      </c>
      <c r="D237" s="652">
        <v>41497</v>
      </c>
      <c r="E237" s="473" t="s">
        <v>505</v>
      </c>
      <c r="F237" s="1029" t="s">
        <v>50</v>
      </c>
      <c r="G237" s="472" t="s">
        <v>399</v>
      </c>
      <c r="H237" s="472" t="s">
        <v>392</v>
      </c>
      <c r="I237" s="474" t="s">
        <v>22</v>
      </c>
      <c r="J237" s="474" t="s">
        <v>28</v>
      </c>
      <c r="K237" s="475" t="s">
        <v>43</v>
      </c>
      <c r="L237" s="861" t="str">
        <f t="shared" si="15"/>
        <v>salarié</v>
      </c>
      <c r="M237" s="483" t="s">
        <v>48</v>
      </c>
      <c r="N237" s="483" t="s">
        <v>0</v>
      </c>
      <c r="O237" s="486">
        <v>1</v>
      </c>
      <c r="P237" s="481" t="s">
        <v>58</v>
      </c>
      <c r="Q237" s="482" t="s">
        <v>31</v>
      </c>
      <c r="R237" s="478">
        <v>0</v>
      </c>
      <c r="S237" s="479">
        <v>7</v>
      </c>
      <c r="T237" s="1">
        <v>20080</v>
      </c>
      <c r="U237" s="656">
        <v>7870.7744944180031</v>
      </c>
      <c r="V237" s="479">
        <v>250</v>
      </c>
      <c r="W237" s="483">
        <v>0</v>
      </c>
      <c r="X237" s="476">
        <v>1</v>
      </c>
      <c r="Y237" s="476">
        <v>0</v>
      </c>
      <c r="Z237" s="476">
        <v>0</v>
      </c>
      <c r="AA237" s="646" t="s">
        <v>999</v>
      </c>
      <c r="AB237" s="647">
        <f t="shared" si="16"/>
        <v>25</v>
      </c>
      <c r="AC237" s="647">
        <f t="shared" si="17"/>
        <v>7</v>
      </c>
      <c r="AD237" s="648" t="str">
        <f>IF(AB237="","",VLOOKUP(AB237,trancheage[],2,TRUE))</f>
        <v>Moins de 30 ans</v>
      </c>
      <c r="AE237" s="648" t="str">
        <f>IFERROR(VLOOKUP(AC237,trancheanciennete[],2,TRUE),"")</f>
        <v>2 : 5-9</v>
      </c>
      <c r="AF237" s="649" t="str">
        <f>IF(T237&gt;0,VLOOKUP(T237,Trancheremuneration[],2,TRUE),"")</f>
        <v>4: 20 000-23 000</v>
      </c>
      <c r="AG237" s="650">
        <f t="shared" si="18"/>
        <v>8120.7744944180031</v>
      </c>
      <c r="AH237" s="631" t="str">
        <f t="shared" si="19"/>
        <v>catégorie 1</v>
      </c>
      <c r="AI237" s="631"/>
    </row>
    <row r="238" spans="1:35" ht="14">
      <c r="A238" t="s">
        <v>611</v>
      </c>
      <c r="B238" s="645" t="s">
        <v>27</v>
      </c>
      <c r="C238" s="651">
        <v>30800</v>
      </c>
      <c r="D238" s="652">
        <v>41516</v>
      </c>
      <c r="E238" s="473" t="s">
        <v>501</v>
      </c>
      <c r="F238" s="1029" t="s">
        <v>50</v>
      </c>
      <c r="G238" s="472" t="s">
        <v>396</v>
      </c>
      <c r="H238" s="472" t="s">
        <v>392</v>
      </c>
      <c r="I238" s="474" t="s">
        <v>22</v>
      </c>
      <c r="J238" s="474" t="s">
        <v>28</v>
      </c>
      <c r="K238" s="475" t="s">
        <v>43</v>
      </c>
      <c r="L238" s="861" t="str">
        <f t="shared" si="15"/>
        <v>salarié</v>
      </c>
      <c r="M238" s="483" t="s">
        <v>48</v>
      </c>
      <c r="N238" s="483" t="s">
        <v>0</v>
      </c>
      <c r="O238" s="486">
        <v>1</v>
      </c>
      <c r="P238" s="481" t="s">
        <v>58</v>
      </c>
      <c r="Q238" s="482" t="s">
        <v>31</v>
      </c>
      <c r="R238" s="478">
        <v>0</v>
      </c>
      <c r="S238" s="479">
        <v>0</v>
      </c>
      <c r="T238" s="1">
        <v>10960</v>
      </c>
      <c r="U238" s="656">
        <v>15337.539787358197</v>
      </c>
      <c r="V238" s="479">
        <v>100</v>
      </c>
      <c r="W238" s="483">
        <v>0</v>
      </c>
      <c r="X238" s="476">
        <v>1</v>
      </c>
      <c r="Y238" s="476">
        <v>0</v>
      </c>
      <c r="Z238" s="476">
        <v>0</v>
      </c>
      <c r="AA238" s="646" t="s">
        <v>999</v>
      </c>
      <c r="AB238" s="647">
        <f t="shared" si="16"/>
        <v>36</v>
      </c>
      <c r="AC238" s="647">
        <f t="shared" si="17"/>
        <v>7</v>
      </c>
      <c r="AD238" s="648" t="str">
        <f>IF(AB238="","",VLOOKUP(AB238,trancheage[],2,TRUE))</f>
        <v>30 à 39 ans</v>
      </c>
      <c r="AE238" s="648" t="str">
        <f>IFERROR(VLOOKUP(AC238,trancheanciennete[],2,TRUE),"")</f>
        <v>2 : 5-9</v>
      </c>
      <c r="AF238" s="649" t="str">
        <f>IF(T238&gt;0,VLOOKUP(T238,Trancheremuneration[],2,TRUE),"")</f>
        <v>1:7 000-14 000</v>
      </c>
      <c r="AG238" s="650">
        <f t="shared" si="18"/>
        <v>15437.539787358197</v>
      </c>
      <c r="AH238" s="631" t="str">
        <f t="shared" si="19"/>
        <v>catégorie 1</v>
      </c>
      <c r="AI238" s="631"/>
    </row>
    <row r="239" spans="1:35" ht="14">
      <c r="A239" t="s">
        <v>572</v>
      </c>
      <c r="B239" s="645" t="s">
        <v>27</v>
      </c>
      <c r="C239" s="651">
        <v>34513</v>
      </c>
      <c r="D239" s="652">
        <v>41581</v>
      </c>
      <c r="E239" s="473" t="s">
        <v>501</v>
      </c>
      <c r="F239" s="1029" t="s">
        <v>3</v>
      </c>
      <c r="G239" s="472" t="s">
        <v>397</v>
      </c>
      <c r="H239" s="472" t="s">
        <v>392</v>
      </c>
      <c r="I239" s="474" t="s">
        <v>23</v>
      </c>
      <c r="J239" s="474" t="s">
        <v>18</v>
      </c>
      <c r="K239" s="475" t="s">
        <v>36</v>
      </c>
      <c r="L239" s="861" t="str">
        <f t="shared" si="15"/>
        <v>salarié</v>
      </c>
      <c r="M239" s="485" t="s">
        <v>48</v>
      </c>
      <c r="N239" s="485" t="s">
        <v>1</v>
      </c>
      <c r="O239" s="486">
        <v>1</v>
      </c>
      <c r="P239" s="481" t="s">
        <v>58</v>
      </c>
      <c r="Q239" s="482" t="s">
        <v>39</v>
      </c>
      <c r="R239" s="478">
        <v>1</v>
      </c>
      <c r="S239" s="479">
        <v>0</v>
      </c>
      <c r="T239" s="1">
        <v>14800</v>
      </c>
      <c r="U239" s="656">
        <v>25043.769958438315</v>
      </c>
      <c r="V239" s="479">
        <v>100</v>
      </c>
      <c r="W239" s="483">
        <v>1</v>
      </c>
      <c r="X239" s="476">
        <v>0</v>
      </c>
      <c r="Y239" s="476">
        <v>0</v>
      </c>
      <c r="Z239" s="476">
        <v>0</v>
      </c>
      <c r="AA239" s="646" t="s">
        <v>999</v>
      </c>
      <c r="AB239" s="647">
        <f t="shared" si="16"/>
        <v>26</v>
      </c>
      <c r="AC239" s="647">
        <f t="shared" si="17"/>
        <v>6</v>
      </c>
      <c r="AD239" s="648" t="str">
        <f>IF(AB239="","",VLOOKUP(AB239,trancheage[],2,TRUE))</f>
        <v>Moins de 30 ans</v>
      </c>
      <c r="AE239" s="648" t="str">
        <f>IFERROR(VLOOKUP(AC239,trancheanciennete[],2,TRUE),"")</f>
        <v>2 : 5-9</v>
      </c>
      <c r="AF239" s="649" t="str">
        <f>IF(T239&gt;0,VLOOKUP(T239,Trancheremuneration[],2,TRUE),"")</f>
        <v>2:14 000-17 000</v>
      </c>
      <c r="AG239" s="650">
        <f t="shared" si="18"/>
        <v>25143.769958438315</v>
      </c>
      <c r="AH239" s="631" t="str">
        <f t="shared" si="19"/>
        <v>catégorie 1</v>
      </c>
      <c r="AI239" s="631"/>
    </row>
    <row r="240" spans="1:35" ht="14">
      <c r="A240" t="s">
        <v>592</v>
      </c>
      <c r="B240" s="645" t="s">
        <v>47</v>
      </c>
      <c r="C240" s="651">
        <v>27879</v>
      </c>
      <c r="D240" s="652">
        <v>41582</v>
      </c>
      <c r="E240" s="473" t="s">
        <v>504</v>
      </c>
      <c r="F240" s="1029" t="s">
        <v>3</v>
      </c>
      <c r="G240" s="472" t="s">
        <v>398</v>
      </c>
      <c r="H240" s="472" t="s">
        <v>392</v>
      </c>
      <c r="I240" s="474" t="s">
        <v>23</v>
      </c>
      <c r="J240" s="474" t="s">
        <v>18</v>
      </c>
      <c r="K240" s="475" t="s">
        <v>302</v>
      </c>
      <c r="L240" s="861" t="str">
        <f t="shared" si="15"/>
        <v>salarié</v>
      </c>
      <c r="M240" s="485" t="s">
        <v>42</v>
      </c>
      <c r="N240" s="485" t="s">
        <v>0</v>
      </c>
      <c r="O240" s="486">
        <v>0.8</v>
      </c>
      <c r="P240" s="481" t="s">
        <v>59</v>
      </c>
      <c r="Q240" s="482" t="s">
        <v>32</v>
      </c>
      <c r="R240" s="478">
        <v>0</v>
      </c>
      <c r="S240" s="479">
        <v>0</v>
      </c>
      <c r="T240" s="1">
        <v>30760</v>
      </c>
      <c r="U240" s="656">
        <v>22400.245119768166</v>
      </c>
      <c r="V240" s="479">
        <v>250</v>
      </c>
      <c r="W240" s="483">
        <v>0</v>
      </c>
      <c r="X240" s="476">
        <v>0</v>
      </c>
      <c r="Y240" s="476">
        <v>0</v>
      </c>
      <c r="Z240" s="476">
        <v>0</v>
      </c>
      <c r="AA240" s="646" t="s">
        <v>999</v>
      </c>
      <c r="AB240" s="647">
        <f t="shared" si="16"/>
        <v>44</v>
      </c>
      <c r="AC240" s="647">
        <f t="shared" si="17"/>
        <v>6</v>
      </c>
      <c r="AD240" s="648" t="str">
        <f>IF(AB240="","",VLOOKUP(AB240,trancheage[],2,TRUE))</f>
        <v>40 à 49 ans</v>
      </c>
      <c r="AE240" s="648" t="str">
        <f>IFERROR(VLOOKUP(AC240,trancheanciennete[],2,TRUE),"")</f>
        <v>2 : 5-9</v>
      </c>
      <c r="AF240" s="649" t="str">
        <f>IF(T240&gt;0,VLOOKUP(T240,Trancheremuneration[],2,TRUE),"")</f>
        <v>5 : + de 23 000</v>
      </c>
      <c r="AG240" s="650">
        <f t="shared" si="18"/>
        <v>27130.2941437218</v>
      </c>
      <c r="AH240" s="631" t="str">
        <f t="shared" si="19"/>
        <v>catégorie 1</v>
      </c>
      <c r="AI240" s="631"/>
    </row>
    <row r="241" spans="1:35" ht="14">
      <c r="A241" t="s">
        <v>808</v>
      </c>
      <c r="B241" s="645" t="s">
        <v>47</v>
      </c>
      <c r="C241" s="651">
        <v>30111</v>
      </c>
      <c r="D241" s="652">
        <v>41600</v>
      </c>
      <c r="E241" s="473" t="s">
        <v>501</v>
      </c>
      <c r="F241" s="1029" t="s">
        <v>3</v>
      </c>
      <c r="G241" s="472" t="s">
        <v>399</v>
      </c>
      <c r="H241" s="472" t="s">
        <v>392</v>
      </c>
      <c r="I241" s="474" t="s">
        <v>22</v>
      </c>
      <c r="J241" s="474" t="s">
        <v>28</v>
      </c>
      <c r="K241" s="475" t="s">
        <v>43</v>
      </c>
      <c r="L241" s="861" t="str">
        <f t="shared" si="15"/>
        <v>salarié</v>
      </c>
      <c r="M241" s="485" t="s">
        <v>48</v>
      </c>
      <c r="N241" s="485" t="s">
        <v>1</v>
      </c>
      <c r="O241" s="486">
        <v>0.8</v>
      </c>
      <c r="P241" s="481" t="s">
        <v>59</v>
      </c>
      <c r="Q241" s="482" t="s">
        <v>32</v>
      </c>
      <c r="R241" s="478">
        <v>0</v>
      </c>
      <c r="S241" s="479">
        <v>0</v>
      </c>
      <c r="T241" s="1">
        <v>20320</v>
      </c>
      <c r="U241" s="656">
        <v>33280.696126502342</v>
      </c>
      <c r="V241" s="479">
        <v>500</v>
      </c>
      <c r="W241" s="483">
        <v>0</v>
      </c>
      <c r="X241" s="476">
        <v>1</v>
      </c>
      <c r="Y241" s="476">
        <v>0</v>
      </c>
      <c r="Z241" s="476">
        <v>0</v>
      </c>
      <c r="AA241" s="646" t="s">
        <v>999</v>
      </c>
      <c r="AB241" s="647">
        <f t="shared" si="16"/>
        <v>38</v>
      </c>
      <c r="AC241" s="647">
        <f t="shared" si="17"/>
        <v>6</v>
      </c>
      <c r="AD241" s="648" t="str">
        <f>IF(AB241="","",VLOOKUP(AB241,trancheage[],2,TRUE))</f>
        <v>30 à 39 ans</v>
      </c>
      <c r="AE241" s="648" t="str">
        <f>IFERROR(VLOOKUP(AC241,trancheanciennete[],2,TRUE),"")</f>
        <v>2 : 5-9</v>
      </c>
      <c r="AF241" s="649" t="str">
        <f>IF(T241&gt;0,VLOOKUP(T241,Trancheremuneration[],2,TRUE),"")</f>
        <v>4: 20 000-23 000</v>
      </c>
      <c r="AG241" s="650">
        <f t="shared" si="18"/>
        <v>40436.835351802809</v>
      </c>
      <c r="AH241" s="631" t="str">
        <f t="shared" si="19"/>
        <v>catégorie 1</v>
      </c>
      <c r="AI241" s="631"/>
    </row>
    <row r="242" spans="1:35" ht="14">
      <c r="A242" t="s">
        <v>809</v>
      </c>
      <c r="B242" s="645" t="s">
        <v>27</v>
      </c>
      <c r="C242" s="651">
        <v>34493</v>
      </c>
      <c r="D242" s="652">
        <v>41601</v>
      </c>
      <c r="E242" s="473" t="s">
        <v>501</v>
      </c>
      <c r="F242" s="1029" t="s">
        <v>50</v>
      </c>
      <c r="G242" s="472" t="s">
        <v>395</v>
      </c>
      <c r="H242" s="472" t="s">
        <v>393</v>
      </c>
      <c r="I242" s="474" t="s">
        <v>22</v>
      </c>
      <c r="J242" s="474" t="s">
        <v>28</v>
      </c>
      <c r="K242" s="475" t="s">
        <v>43</v>
      </c>
      <c r="L242" s="861" t="str">
        <f t="shared" si="15"/>
        <v>salarié</v>
      </c>
      <c r="M242" s="485" t="s">
        <v>42</v>
      </c>
      <c r="N242" s="485" t="s">
        <v>1</v>
      </c>
      <c r="O242" s="486">
        <v>1</v>
      </c>
      <c r="P242" s="481" t="s">
        <v>59</v>
      </c>
      <c r="Q242" s="482" t="s">
        <v>30</v>
      </c>
      <c r="R242" s="478">
        <v>0</v>
      </c>
      <c r="S242" s="479">
        <v>14</v>
      </c>
      <c r="T242" s="1">
        <v>30760</v>
      </c>
      <c r="U242" s="656">
        <v>24337.593439781922</v>
      </c>
      <c r="V242" s="479">
        <v>250</v>
      </c>
      <c r="W242" s="483">
        <v>0</v>
      </c>
      <c r="X242" s="476">
        <v>0</v>
      </c>
      <c r="Y242" s="476">
        <v>1</v>
      </c>
      <c r="Z242" s="476">
        <v>0</v>
      </c>
      <c r="AA242" s="646" t="s">
        <v>999</v>
      </c>
      <c r="AB242" s="647">
        <f t="shared" si="16"/>
        <v>26</v>
      </c>
      <c r="AC242" s="647">
        <f t="shared" si="17"/>
        <v>6</v>
      </c>
      <c r="AD242" s="648" t="str">
        <f>IF(AB242="","",VLOOKUP(AB242,trancheage[],2,TRUE))</f>
        <v>Moins de 30 ans</v>
      </c>
      <c r="AE242" s="648" t="str">
        <f>IFERROR(VLOOKUP(AC242,trancheanciennete[],2,TRUE),"")</f>
        <v>2 : 5-9</v>
      </c>
      <c r="AF242" s="649" t="str">
        <f>IF(T242&gt;0,VLOOKUP(T242,Trancheremuneration[],2,TRUE),"")</f>
        <v>5 : + de 23 000</v>
      </c>
      <c r="AG242" s="650">
        <f t="shared" si="18"/>
        <v>24587.593439781922</v>
      </c>
      <c r="AH242" s="631" t="str">
        <f t="shared" si="19"/>
        <v>catégorie 2</v>
      </c>
      <c r="AI242" s="631"/>
    </row>
    <row r="243" spans="1:35" ht="14">
      <c r="A243" t="s">
        <v>810</v>
      </c>
      <c r="B243" s="645" t="s">
        <v>27</v>
      </c>
      <c r="C243" s="651">
        <v>28140</v>
      </c>
      <c r="D243" s="652">
        <v>41620</v>
      </c>
      <c r="E243" s="473" t="s">
        <v>501</v>
      </c>
      <c r="F243" s="1029" t="s">
        <v>3</v>
      </c>
      <c r="G243" s="472" t="s">
        <v>395</v>
      </c>
      <c r="H243" s="472" t="s">
        <v>392</v>
      </c>
      <c r="I243" s="474" t="s">
        <v>22</v>
      </c>
      <c r="J243" s="474" t="s">
        <v>28</v>
      </c>
      <c r="K243" s="475" t="s">
        <v>43</v>
      </c>
      <c r="L243" s="861" t="str">
        <f t="shared" si="15"/>
        <v>salarié</v>
      </c>
      <c r="M243" s="485" t="s">
        <v>48</v>
      </c>
      <c r="N243" s="485" t="s">
        <v>1</v>
      </c>
      <c r="O243" s="486">
        <v>1</v>
      </c>
      <c r="P243" s="481" t="s">
        <v>59</v>
      </c>
      <c r="Q243" s="482" t="s">
        <v>33</v>
      </c>
      <c r="R243" s="478">
        <v>1</v>
      </c>
      <c r="S243" s="479">
        <v>14</v>
      </c>
      <c r="T243" s="1">
        <v>22000</v>
      </c>
      <c r="U243" s="656">
        <v>19430.668181131787</v>
      </c>
      <c r="V243" s="479">
        <v>250</v>
      </c>
      <c r="W243" s="483">
        <v>1</v>
      </c>
      <c r="X243" s="476">
        <v>0</v>
      </c>
      <c r="Y243" s="476">
        <v>0</v>
      </c>
      <c r="Z243" s="476">
        <v>0</v>
      </c>
      <c r="AA243" s="646" t="s">
        <v>999</v>
      </c>
      <c r="AB243" s="647">
        <f t="shared" si="16"/>
        <v>43</v>
      </c>
      <c r="AC243" s="647">
        <f t="shared" si="17"/>
        <v>6</v>
      </c>
      <c r="AD243" s="648" t="str">
        <f>IF(AB243="","",VLOOKUP(AB243,trancheage[],2,TRUE))</f>
        <v>40 à 49 ans</v>
      </c>
      <c r="AE243" s="648" t="str">
        <f>IFERROR(VLOOKUP(AC243,trancheanciennete[],2,TRUE),"")</f>
        <v>2 : 5-9</v>
      </c>
      <c r="AF243" s="649" t="str">
        <f>IF(T243&gt;0,VLOOKUP(T243,Trancheremuneration[],2,TRUE),"")</f>
        <v>4: 20 000-23 000</v>
      </c>
      <c r="AG243" s="650">
        <f t="shared" si="18"/>
        <v>19680.668181131787</v>
      </c>
      <c r="AH243" s="631" t="str">
        <f t="shared" si="19"/>
        <v>catégorie 1</v>
      </c>
      <c r="AI243" s="631"/>
    </row>
    <row r="244" spans="1:35" ht="14">
      <c r="A244" t="s">
        <v>650</v>
      </c>
      <c r="B244" s="645" t="s">
        <v>27</v>
      </c>
      <c r="C244" s="651">
        <v>32737</v>
      </c>
      <c r="D244" s="652">
        <v>41624</v>
      </c>
      <c r="E244" s="473" t="s">
        <v>504</v>
      </c>
      <c r="F244" s="1029" t="s">
        <v>3</v>
      </c>
      <c r="G244" s="472" t="s">
        <v>395</v>
      </c>
      <c r="H244" s="472" t="s">
        <v>392</v>
      </c>
      <c r="I244" s="474" t="s">
        <v>22</v>
      </c>
      <c r="J244" s="474" t="s">
        <v>28</v>
      </c>
      <c r="K244" s="475" t="s">
        <v>56</v>
      </c>
      <c r="L244" s="861" t="str">
        <f t="shared" si="15"/>
        <v>salarié</v>
      </c>
      <c r="M244" s="485" t="s">
        <v>48</v>
      </c>
      <c r="N244" s="485" t="s">
        <v>1</v>
      </c>
      <c r="O244" s="486">
        <v>0.5</v>
      </c>
      <c r="P244" s="481" t="s">
        <v>59</v>
      </c>
      <c r="Q244" s="482" t="s">
        <v>31</v>
      </c>
      <c r="R244" s="478">
        <v>0</v>
      </c>
      <c r="S244" s="479">
        <v>0</v>
      </c>
      <c r="T244" s="1">
        <v>17200</v>
      </c>
      <c r="U244" s="656">
        <v>65239.797824614652</v>
      </c>
      <c r="V244" s="479">
        <v>250</v>
      </c>
      <c r="W244" s="483">
        <v>0</v>
      </c>
      <c r="X244" s="476">
        <v>1</v>
      </c>
      <c r="Y244" s="476">
        <v>0</v>
      </c>
      <c r="Z244" s="476">
        <v>0</v>
      </c>
      <c r="AA244" s="646" t="s">
        <v>999</v>
      </c>
      <c r="AB244" s="647">
        <f t="shared" si="16"/>
        <v>31</v>
      </c>
      <c r="AC244" s="647">
        <f t="shared" si="17"/>
        <v>6</v>
      </c>
      <c r="AD244" s="648" t="str">
        <f>IF(AB244="","",VLOOKUP(AB244,trancheage[],2,TRUE))</f>
        <v>30 à 39 ans</v>
      </c>
      <c r="AE244" s="648" t="str">
        <f>IFERROR(VLOOKUP(AC244,trancheanciennete[],2,TRUE),"")</f>
        <v>2 : 5-9</v>
      </c>
      <c r="AF244" s="649" t="str">
        <f>IF(T244&gt;0,VLOOKUP(T244,Trancheremuneration[],2,TRUE),"")</f>
        <v>3:17 000-20 000</v>
      </c>
      <c r="AG244" s="650">
        <f t="shared" si="18"/>
        <v>98109.696736921978</v>
      </c>
      <c r="AH244" s="631" t="str">
        <f t="shared" si="19"/>
        <v>catégorie 1</v>
      </c>
      <c r="AI244" s="631"/>
    </row>
    <row r="245" spans="1:35" ht="14">
      <c r="A245" t="s">
        <v>811</v>
      </c>
      <c r="B245" s="645" t="s">
        <v>47</v>
      </c>
      <c r="C245" s="651">
        <v>33698</v>
      </c>
      <c r="D245" s="652">
        <v>41644</v>
      </c>
      <c r="E245" s="473" t="s">
        <v>505</v>
      </c>
      <c r="F245" s="1029" t="s">
        <v>3</v>
      </c>
      <c r="G245" s="472" t="s">
        <v>396</v>
      </c>
      <c r="H245" s="472" t="s">
        <v>392</v>
      </c>
      <c r="I245" s="474" t="s">
        <v>22</v>
      </c>
      <c r="J245" s="474" t="s">
        <v>28</v>
      </c>
      <c r="K245" s="475" t="s">
        <v>35</v>
      </c>
      <c r="L245" s="861" t="str">
        <f t="shared" si="15"/>
        <v>salarié</v>
      </c>
      <c r="M245" s="485" t="s">
        <v>48</v>
      </c>
      <c r="N245" s="485" t="s">
        <v>1</v>
      </c>
      <c r="O245" s="486">
        <v>1</v>
      </c>
      <c r="P245" s="481" t="s">
        <v>59</v>
      </c>
      <c r="Q245" s="482" t="s">
        <v>31</v>
      </c>
      <c r="R245" s="478">
        <v>0</v>
      </c>
      <c r="S245" s="479">
        <v>0</v>
      </c>
      <c r="T245" s="1">
        <v>61000</v>
      </c>
      <c r="U245" s="656">
        <v>16355.195562830715</v>
      </c>
      <c r="V245" s="479">
        <v>250</v>
      </c>
      <c r="W245" s="483">
        <v>0</v>
      </c>
      <c r="X245" s="476">
        <v>1</v>
      </c>
      <c r="Y245" s="476">
        <v>0</v>
      </c>
      <c r="Z245" s="476">
        <v>0</v>
      </c>
      <c r="AA245" s="646" t="s">
        <v>999</v>
      </c>
      <c r="AB245" s="647">
        <f t="shared" si="16"/>
        <v>28</v>
      </c>
      <c r="AC245" s="647">
        <f t="shared" si="17"/>
        <v>6</v>
      </c>
      <c r="AD245" s="648" t="str">
        <f>IF(AB245="","",VLOOKUP(AB245,trancheage[],2,TRUE))</f>
        <v>Moins de 30 ans</v>
      </c>
      <c r="AE245" s="648" t="str">
        <f>IFERROR(VLOOKUP(AC245,trancheanciennete[],2,TRUE),"")</f>
        <v>2 : 5-9</v>
      </c>
      <c r="AF245" s="649" t="str">
        <f>IF(T245&gt;0,VLOOKUP(T245,Trancheremuneration[],2,TRUE),"")</f>
        <v>5 : + de 23 000</v>
      </c>
      <c r="AG245" s="650">
        <f t="shared" si="18"/>
        <v>16605.195562830715</v>
      </c>
      <c r="AH245" s="631" t="str">
        <f t="shared" si="19"/>
        <v>catégorie 1</v>
      </c>
      <c r="AI245" s="631"/>
    </row>
    <row r="246" spans="1:35" ht="14">
      <c r="A246" t="s">
        <v>812</v>
      </c>
      <c r="B246" s="645" t="s">
        <v>27</v>
      </c>
      <c r="C246" s="651">
        <v>29738</v>
      </c>
      <c r="D246" s="652">
        <v>41648</v>
      </c>
      <c r="E246" s="473" t="s">
        <v>501</v>
      </c>
      <c r="F246" s="1029" t="s">
        <v>3</v>
      </c>
      <c r="G246" s="472" t="s">
        <v>397</v>
      </c>
      <c r="H246" s="472" t="s">
        <v>392</v>
      </c>
      <c r="I246" s="474" t="s">
        <v>22</v>
      </c>
      <c r="J246" s="474" t="s">
        <v>28</v>
      </c>
      <c r="K246" s="475" t="s">
        <v>43</v>
      </c>
      <c r="L246" s="861" t="str">
        <f t="shared" si="15"/>
        <v>salarié</v>
      </c>
      <c r="M246" s="485" t="s">
        <v>48</v>
      </c>
      <c r="N246" s="485" t="s">
        <v>1</v>
      </c>
      <c r="O246" s="486">
        <v>0.8</v>
      </c>
      <c r="P246" s="481" t="s">
        <v>59</v>
      </c>
      <c r="Q246" s="482" t="s">
        <v>30</v>
      </c>
      <c r="R246" s="478">
        <v>1</v>
      </c>
      <c r="S246" s="479">
        <v>21</v>
      </c>
      <c r="T246" s="1">
        <v>19120</v>
      </c>
      <c r="U246" s="656">
        <v>28553.368070922246</v>
      </c>
      <c r="V246" s="479">
        <v>250</v>
      </c>
      <c r="W246" s="483">
        <v>1</v>
      </c>
      <c r="X246" s="476">
        <v>0</v>
      </c>
      <c r="Y246" s="476">
        <v>0</v>
      </c>
      <c r="Z246" s="476">
        <v>0</v>
      </c>
      <c r="AA246" s="646" t="s">
        <v>999</v>
      </c>
      <c r="AB246" s="647">
        <f t="shared" si="16"/>
        <v>39</v>
      </c>
      <c r="AC246" s="647">
        <f t="shared" si="17"/>
        <v>6</v>
      </c>
      <c r="AD246" s="648" t="str">
        <f>IF(AB246="","",VLOOKUP(AB246,trancheage[],2,TRUE))</f>
        <v>40 à 49 ans</v>
      </c>
      <c r="AE246" s="648" t="str">
        <f>IFERROR(VLOOKUP(AC246,trancheanciennete[],2,TRUE),"")</f>
        <v>2 : 5-9</v>
      </c>
      <c r="AF246" s="649" t="str">
        <f>IF(T246&gt;0,VLOOKUP(T246,Trancheremuneration[],2,TRUE),"")</f>
        <v>3:17 000-20 000</v>
      </c>
      <c r="AG246" s="650">
        <f t="shared" si="18"/>
        <v>34514.041685106691</v>
      </c>
      <c r="AH246" s="631" t="str">
        <f t="shared" si="19"/>
        <v>catégorie 1</v>
      </c>
      <c r="AI246" s="631"/>
    </row>
    <row r="247" spans="1:35" ht="14">
      <c r="A247" t="s">
        <v>813</v>
      </c>
      <c r="B247" s="645" t="s">
        <v>47</v>
      </c>
      <c r="C247" s="651">
        <v>22130</v>
      </c>
      <c r="D247" s="652">
        <v>41664</v>
      </c>
      <c r="E247" s="473" t="s">
        <v>501</v>
      </c>
      <c r="F247" s="1029" t="s">
        <v>50</v>
      </c>
      <c r="G247" s="472" t="s">
        <v>398</v>
      </c>
      <c r="H247" s="472" t="s">
        <v>394</v>
      </c>
      <c r="I247" s="474" t="s">
        <v>22</v>
      </c>
      <c r="J247" s="474" t="s">
        <v>29</v>
      </c>
      <c r="K247" s="475" t="s">
        <v>43</v>
      </c>
      <c r="L247" s="861" t="str">
        <f t="shared" si="15"/>
        <v>salarié</v>
      </c>
      <c r="M247" s="485" t="s">
        <v>48</v>
      </c>
      <c r="N247" s="485" t="s">
        <v>1</v>
      </c>
      <c r="O247" s="486">
        <v>0.8</v>
      </c>
      <c r="P247" s="481" t="s">
        <v>59</v>
      </c>
      <c r="Q247" s="482" t="s">
        <v>32</v>
      </c>
      <c r="R247" s="478">
        <v>0</v>
      </c>
      <c r="S247" s="479">
        <v>0</v>
      </c>
      <c r="T247" s="1">
        <v>34360</v>
      </c>
      <c r="U247" s="656">
        <v>44152.783778367717</v>
      </c>
      <c r="V247" s="479">
        <v>250</v>
      </c>
      <c r="W247" s="483">
        <v>0</v>
      </c>
      <c r="X247" s="476">
        <v>1</v>
      </c>
      <c r="Y247" s="476">
        <v>0</v>
      </c>
      <c r="Z247" s="476">
        <v>0</v>
      </c>
      <c r="AA247" s="646" t="s">
        <v>999</v>
      </c>
      <c r="AB247" s="647">
        <f t="shared" si="16"/>
        <v>60</v>
      </c>
      <c r="AC247" s="647">
        <f t="shared" si="17"/>
        <v>6</v>
      </c>
      <c r="AD247" s="648" t="str">
        <f>IF(AB247="","",VLOOKUP(AB247,trancheage[],2,TRUE))</f>
        <v>50 ans et plus</v>
      </c>
      <c r="AE247" s="648" t="str">
        <f>IFERROR(VLOOKUP(AC247,trancheanciennete[],2,TRUE),"")</f>
        <v>2 : 5-9</v>
      </c>
      <c r="AF247" s="649" t="str">
        <f>IF(T247&gt;0,VLOOKUP(T247,Trancheremuneration[],2,TRUE),"")</f>
        <v>5 : + de 23 000</v>
      </c>
      <c r="AG247" s="650">
        <f t="shared" si="18"/>
        <v>53233.340534041257</v>
      </c>
      <c r="AH247" s="631" t="str">
        <f t="shared" si="19"/>
        <v>catégorie 3</v>
      </c>
      <c r="AI247" s="631"/>
    </row>
    <row r="248" spans="1:35" ht="14">
      <c r="A248" t="s">
        <v>814</v>
      </c>
      <c r="B248" s="645" t="s">
        <v>27</v>
      </c>
      <c r="C248" s="651">
        <v>30336</v>
      </c>
      <c r="D248" s="652">
        <v>41666</v>
      </c>
      <c r="E248" s="473" t="s">
        <v>501</v>
      </c>
      <c r="F248" s="1029" t="s">
        <v>50</v>
      </c>
      <c r="G248" s="472" t="s">
        <v>399</v>
      </c>
      <c r="H248" s="472" t="s">
        <v>392</v>
      </c>
      <c r="I248" s="474" t="s">
        <v>22</v>
      </c>
      <c r="J248" s="474" t="s">
        <v>29</v>
      </c>
      <c r="K248" s="475" t="s">
        <v>43</v>
      </c>
      <c r="L248" s="861" t="str">
        <f t="shared" si="15"/>
        <v>salarié</v>
      </c>
      <c r="M248" s="485" t="s">
        <v>48</v>
      </c>
      <c r="N248" s="485" t="s">
        <v>0</v>
      </c>
      <c r="O248" s="484">
        <v>0.8</v>
      </c>
      <c r="P248" s="476" t="s">
        <v>58</v>
      </c>
      <c r="Q248" s="477" t="s">
        <v>30</v>
      </c>
      <c r="R248" s="478">
        <v>0</v>
      </c>
      <c r="S248" s="479">
        <v>7</v>
      </c>
      <c r="T248" s="1">
        <v>51280</v>
      </c>
      <c r="U248" s="656">
        <v>19841.042579528996</v>
      </c>
      <c r="V248" s="479">
        <v>100</v>
      </c>
      <c r="W248" s="483">
        <v>0</v>
      </c>
      <c r="X248" s="476">
        <v>0</v>
      </c>
      <c r="Y248" s="476">
        <v>1</v>
      </c>
      <c r="Z248" s="476">
        <v>0</v>
      </c>
      <c r="AA248" s="646" t="s">
        <v>999</v>
      </c>
      <c r="AB248" s="647">
        <f t="shared" si="16"/>
        <v>37</v>
      </c>
      <c r="AC248" s="647">
        <f t="shared" si="17"/>
        <v>6</v>
      </c>
      <c r="AD248" s="648" t="str">
        <f>IF(AB248="","",VLOOKUP(AB248,trancheage[],2,TRUE))</f>
        <v>30 à 39 ans</v>
      </c>
      <c r="AE248" s="648" t="str">
        <f>IFERROR(VLOOKUP(AC248,trancheanciennete[],2,TRUE),"")</f>
        <v>2 : 5-9</v>
      </c>
      <c r="AF248" s="649" t="str">
        <f>IF(T248&gt;0,VLOOKUP(T248,Trancheremuneration[],2,TRUE),"")</f>
        <v>5 : + de 23 000</v>
      </c>
      <c r="AG248" s="650">
        <f t="shared" si="18"/>
        <v>23909.251095434793</v>
      </c>
      <c r="AH248" s="631" t="str">
        <f t="shared" si="19"/>
        <v>catégorie 1</v>
      </c>
      <c r="AI248" s="631"/>
    </row>
    <row r="249" spans="1:35" ht="14">
      <c r="A249" t="s">
        <v>815</v>
      </c>
      <c r="B249" s="645" t="s">
        <v>27</v>
      </c>
      <c r="C249" s="651">
        <v>35299</v>
      </c>
      <c r="D249" s="652">
        <v>41691</v>
      </c>
      <c r="E249" s="473" t="s">
        <v>502</v>
      </c>
      <c r="F249" s="1029" t="s">
        <v>3</v>
      </c>
      <c r="G249" s="472" t="s">
        <v>395</v>
      </c>
      <c r="H249" s="472" t="s">
        <v>392</v>
      </c>
      <c r="I249" s="474" t="s">
        <v>22</v>
      </c>
      <c r="J249" s="474" t="s">
        <v>29</v>
      </c>
      <c r="K249" s="475" t="s">
        <v>43</v>
      </c>
      <c r="L249" s="861" t="str">
        <f t="shared" si="15"/>
        <v>salarié</v>
      </c>
      <c r="M249" s="485" t="s">
        <v>48</v>
      </c>
      <c r="N249" s="485" t="s">
        <v>0</v>
      </c>
      <c r="O249" s="484">
        <v>0.5</v>
      </c>
      <c r="P249" s="476" t="s">
        <v>58</v>
      </c>
      <c r="Q249" s="477" t="s">
        <v>30</v>
      </c>
      <c r="R249" s="478">
        <v>0</v>
      </c>
      <c r="S249" s="479">
        <v>7</v>
      </c>
      <c r="T249" s="1">
        <v>24280</v>
      </c>
      <c r="U249" s="656">
        <v>8959.0759426308414</v>
      </c>
      <c r="V249" s="479">
        <v>250</v>
      </c>
      <c r="W249" s="483">
        <v>0</v>
      </c>
      <c r="X249" s="476">
        <v>0</v>
      </c>
      <c r="Y249" s="476">
        <v>1</v>
      </c>
      <c r="Z249" s="476">
        <v>0</v>
      </c>
      <c r="AA249" s="646" t="s">
        <v>999</v>
      </c>
      <c r="AB249" s="647">
        <f t="shared" si="16"/>
        <v>24</v>
      </c>
      <c r="AC249" s="647">
        <f t="shared" si="17"/>
        <v>6</v>
      </c>
      <c r="AD249" s="648" t="str">
        <f>IF(AB249="","",VLOOKUP(AB249,trancheage[],2,TRUE))</f>
        <v>Moins de 30 ans</v>
      </c>
      <c r="AE249" s="648" t="str">
        <f>IFERROR(VLOOKUP(AC249,trancheanciennete[],2,TRUE),"")</f>
        <v>2 : 5-9</v>
      </c>
      <c r="AF249" s="649" t="str">
        <f>IF(T249&gt;0,VLOOKUP(T249,Trancheremuneration[],2,TRUE),"")</f>
        <v>5 : + de 23 000</v>
      </c>
      <c r="AG249" s="650">
        <f t="shared" si="18"/>
        <v>13688.613913946261</v>
      </c>
      <c r="AH249" s="631" t="str">
        <f t="shared" si="19"/>
        <v>catégorie 1</v>
      </c>
      <c r="AI249" s="631"/>
    </row>
    <row r="250" spans="1:35" ht="14">
      <c r="A250" t="s">
        <v>816</v>
      </c>
      <c r="B250" s="645" t="s">
        <v>47</v>
      </c>
      <c r="C250" s="651">
        <v>35316</v>
      </c>
      <c r="D250" s="652">
        <v>41710</v>
      </c>
      <c r="E250" s="473" t="s">
        <v>505</v>
      </c>
      <c r="F250" s="1029" t="s">
        <v>3</v>
      </c>
      <c r="G250" s="472" t="s">
        <v>395</v>
      </c>
      <c r="H250" s="472" t="s">
        <v>392</v>
      </c>
      <c r="I250" s="474" t="s">
        <v>23</v>
      </c>
      <c r="J250" s="474" t="s">
        <v>18</v>
      </c>
      <c r="K250" s="475" t="s">
        <v>304</v>
      </c>
      <c r="L250" s="861" t="str">
        <f t="shared" si="15"/>
        <v>salarié</v>
      </c>
      <c r="M250" s="485" t="s">
        <v>48</v>
      </c>
      <c r="N250" s="485" t="s">
        <v>1</v>
      </c>
      <c r="O250" s="486">
        <v>1</v>
      </c>
      <c r="P250" s="481" t="s">
        <v>58</v>
      </c>
      <c r="Q250" s="482" t="s">
        <v>33</v>
      </c>
      <c r="R250" s="478">
        <v>1</v>
      </c>
      <c r="S250" s="479">
        <v>14</v>
      </c>
      <c r="T250" s="1">
        <v>10960</v>
      </c>
      <c r="U250" s="656">
        <v>37366.457711833384</v>
      </c>
      <c r="V250" s="479">
        <v>250</v>
      </c>
      <c r="W250" s="483">
        <v>1</v>
      </c>
      <c r="X250" s="476">
        <v>0</v>
      </c>
      <c r="Y250" s="476">
        <v>0</v>
      </c>
      <c r="Z250" s="476">
        <v>0</v>
      </c>
      <c r="AA250" s="646" t="s">
        <v>999</v>
      </c>
      <c r="AB250" s="647">
        <f t="shared" si="16"/>
        <v>23</v>
      </c>
      <c r="AC250" s="647">
        <f t="shared" si="17"/>
        <v>6</v>
      </c>
      <c r="AD250" s="648" t="str">
        <f>IF(AB250="","",VLOOKUP(AB250,trancheage[],2,TRUE))</f>
        <v>Moins de 30 ans</v>
      </c>
      <c r="AE250" s="648" t="str">
        <f>IFERROR(VLOOKUP(AC250,trancheanciennete[],2,TRUE),"")</f>
        <v>2 : 5-9</v>
      </c>
      <c r="AF250" s="649" t="str">
        <f>IF(T250&gt;0,VLOOKUP(T250,Trancheremuneration[],2,TRUE),"")</f>
        <v>1:7 000-14 000</v>
      </c>
      <c r="AG250" s="650">
        <f t="shared" si="18"/>
        <v>37616.457711833384</v>
      </c>
      <c r="AH250" s="631" t="str">
        <f t="shared" si="19"/>
        <v>catégorie 1</v>
      </c>
      <c r="AI250" s="631"/>
    </row>
    <row r="251" spans="1:35" ht="14">
      <c r="A251" t="s">
        <v>817</v>
      </c>
      <c r="B251" s="645" t="s">
        <v>27</v>
      </c>
      <c r="C251" s="651">
        <v>35937</v>
      </c>
      <c r="D251" s="652">
        <v>41716</v>
      </c>
      <c r="E251" s="473" t="s">
        <v>501</v>
      </c>
      <c r="F251" s="1029" t="s">
        <v>50</v>
      </c>
      <c r="G251" s="472" t="s">
        <v>396</v>
      </c>
      <c r="H251" s="472" t="s">
        <v>392</v>
      </c>
      <c r="I251" s="474" t="s">
        <v>22</v>
      </c>
      <c r="J251" s="474" t="s">
        <v>29</v>
      </c>
      <c r="K251" s="475" t="s">
        <v>301</v>
      </c>
      <c r="L251" s="861" t="str">
        <f t="shared" si="15"/>
        <v>salarié</v>
      </c>
      <c r="M251" s="485" t="s">
        <v>48</v>
      </c>
      <c r="N251" s="485" t="s">
        <v>0</v>
      </c>
      <c r="O251" s="486">
        <v>0.8</v>
      </c>
      <c r="P251" s="481" t="s">
        <v>59</v>
      </c>
      <c r="Q251" s="482" t="s">
        <v>31</v>
      </c>
      <c r="R251" s="478">
        <v>1</v>
      </c>
      <c r="S251" s="479">
        <v>7</v>
      </c>
      <c r="T251" s="1">
        <v>41800</v>
      </c>
      <c r="U251" s="656">
        <v>18301.102004723507</v>
      </c>
      <c r="V251" s="479">
        <v>250</v>
      </c>
      <c r="W251" s="483">
        <v>1</v>
      </c>
      <c r="X251" s="476">
        <v>1</v>
      </c>
      <c r="Y251" s="476">
        <v>1</v>
      </c>
      <c r="Z251" s="476">
        <v>0</v>
      </c>
      <c r="AA251" s="646" t="s">
        <v>999</v>
      </c>
      <c r="AB251" s="647">
        <f t="shared" si="16"/>
        <v>22</v>
      </c>
      <c r="AC251" s="647">
        <f t="shared" si="17"/>
        <v>6</v>
      </c>
      <c r="AD251" s="648" t="str">
        <f>IF(AB251="","",VLOOKUP(AB251,trancheage[],2,TRUE))</f>
        <v>Moins de 30 ans</v>
      </c>
      <c r="AE251" s="648" t="str">
        <f>IFERROR(VLOOKUP(AC251,trancheanciennete[],2,TRUE),"")</f>
        <v>2 : 5-9</v>
      </c>
      <c r="AF251" s="649" t="str">
        <f>IF(T251&gt;0,VLOOKUP(T251,Trancheremuneration[],2,TRUE),"")</f>
        <v>5 : + de 23 000</v>
      </c>
      <c r="AG251" s="650">
        <f t="shared" si="18"/>
        <v>22211.322405668208</v>
      </c>
      <c r="AH251" s="631" t="str">
        <f t="shared" si="19"/>
        <v>catégorie 1</v>
      </c>
      <c r="AI251" s="631"/>
    </row>
    <row r="252" spans="1:35" ht="14">
      <c r="A252" t="s">
        <v>818</v>
      </c>
      <c r="B252" s="645" t="s">
        <v>47</v>
      </c>
      <c r="C252" s="651">
        <v>22737</v>
      </c>
      <c r="D252" s="652">
        <v>41868</v>
      </c>
      <c r="E252" s="473" t="s">
        <v>501</v>
      </c>
      <c r="F252" s="1029" t="s">
        <v>49</v>
      </c>
      <c r="G252" s="472" t="s">
        <v>395</v>
      </c>
      <c r="H252" s="472" t="s">
        <v>393</v>
      </c>
      <c r="I252" s="474" t="s">
        <v>22</v>
      </c>
      <c r="J252" s="474" t="s">
        <v>29</v>
      </c>
      <c r="K252" s="475" t="s">
        <v>43</v>
      </c>
      <c r="L252" s="861" t="str">
        <f t="shared" si="15"/>
        <v>salarié</v>
      </c>
      <c r="M252" s="485" t="s">
        <v>48</v>
      </c>
      <c r="N252" s="485" t="s">
        <v>0</v>
      </c>
      <c r="O252" s="486">
        <v>1</v>
      </c>
      <c r="P252" s="481" t="s">
        <v>59</v>
      </c>
      <c r="Q252" s="482" t="s">
        <v>30</v>
      </c>
      <c r="R252" s="478">
        <v>0</v>
      </c>
      <c r="S252" s="479">
        <v>7</v>
      </c>
      <c r="T252" s="1">
        <v>18400</v>
      </c>
      <c r="U252" s="656">
        <v>16403.52478845045</v>
      </c>
      <c r="V252" s="479">
        <v>250</v>
      </c>
      <c r="W252" s="483">
        <v>0</v>
      </c>
      <c r="X252" s="476">
        <v>0</v>
      </c>
      <c r="Y252" s="476">
        <v>0</v>
      </c>
      <c r="Z252" s="476">
        <v>1</v>
      </c>
      <c r="AA252" s="646" t="s">
        <v>999</v>
      </c>
      <c r="AB252" s="647">
        <f t="shared" si="16"/>
        <v>58</v>
      </c>
      <c r="AC252" s="647">
        <f t="shared" si="17"/>
        <v>6</v>
      </c>
      <c r="AD252" s="648" t="str">
        <f>IF(AB252="","",VLOOKUP(AB252,trancheage[],2,TRUE))</f>
        <v>50 ans et plus</v>
      </c>
      <c r="AE252" s="648" t="str">
        <f>IFERROR(VLOOKUP(AC252,trancheanciennete[],2,TRUE),"")</f>
        <v>2 : 5-9</v>
      </c>
      <c r="AF252" s="649" t="str">
        <f>IF(T252&gt;0,VLOOKUP(T252,Trancheremuneration[],2,TRUE),"")</f>
        <v>3:17 000-20 000</v>
      </c>
      <c r="AG252" s="650">
        <f t="shared" si="18"/>
        <v>16653.52478845045</v>
      </c>
      <c r="AH252" s="631" t="str">
        <f t="shared" si="19"/>
        <v>catégorie 2</v>
      </c>
      <c r="AI252" s="631"/>
    </row>
    <row r="253" spans="1:35" ht="14">
      <c r="A253" t="s">
        <v>819</v>
      </c>
      <c r="B253" s="645" t="s">
        <v>27</v>
      </c>
      <c r="C253" s="651">
        <v>29096</v>
      </c>
      <c r="D253" s="652">
        <v>41877</v>
      </c>
      <c r="E253" s="473" t="s">
        <v>501</v>
      </c>
      <c r="F253" s="1029" t="s">
        <v>3</v>
      </c>
      <c r="G253" s="472" t="s">
        <v>397</v>
      </c>
      <c r="H253" s="472" t="s">
        <v>394</v>
      </c>
      <c r="I253" s="474" t="s">
        <v>22</v>
      </c>
      <c r="J253" s="474" t="s">
        <v>29</v>
      </c>
      <c r="K253" s="475" t="s">
        <v>43</v>
      </c>
      <c r="L253" s="861" t="str">
        <f t="shared" si="15"/>
        <v>salarié</v>
      </c>
      <c r="M253" s="485" t="s">
        <v>42</v>
      </c>
      <c r="N253" s="485" t="s">
        <v>1</v>
      </c>
      <c r="O253" s="486">
        <v>1</v>
      </c>
      <c r="P253" s="481" t="s">
        <v>58</v>
      </c>
      <c r="Q253" s="482" t="s">
        <v>30</v>
      </c>
      <c r="R253" s="478">
        <v>0</v>
      </c>
      <c r="S253" s="479">
        <v>7</v>
      </c>
      <c r="T253" s="1">
        <v>20320</v>
      </c>
      <c r="U253" s="656">
        <v>25490.715815212352</v>
      </c>
      <c r="V253" s="479">
        <v>500</v>
      </c>
      <c r="W253" s="483">
        <v>0</v>
      </c>
      <c r="X253" s="476">
        <v>0</v>
      </c>
      <c r="Y253" s="476">
        <v>1</v>
      </c>
      <c r="Z253" s="476">
        <v>1</v>
      </c>
      <c r="AA253" s="646" t="s">
        <v>999</v>
      </c>
      <c r="AB253" s="647">
        <f t="shared" si="16"/>
        <v>41</v>
      </c>
      <c r="AC253" s="647">
        <f t="shared" si="17"/>
        <v>6</v>
      </c>
      <c r="AD253" s="648" t="str">
        <f>IF(AB253="","",VLOOKUP(AB253,trancheage[],2,TRUE))</f>
        <v>40 à 49 ans</v>
      </c>
      <c r="AE253" s="648" t="str">
        <f>IFERROR(VLOOKUP(AC253,trancheanciennete[],2,TRUE),"")</f>
        <v>2 : 5-9</v>
      </c>
      <c r="AF253" s="649" t="str">
        <f>IF(T253&gt;0,VLOOKUP(T253,Trancheremuneration[],2,TRUE),"")</f>
        <v>4: 20 000-23 000</v>
      </c>
      <c r="AG253" s="650">
        <f t="shared" si="18"/>
        <v>25990.715815212352</v>
      </c>
      <c r="AH253" s="631" t="str">
        <f t="shared" si="19"/>
        <v>catégorie 3</v>
      </c>
      <c r="AI253" s="631"/>
    </row>
    <row r="254" spans="1:35" ht="14">
      <c r="A254" t="s">
        <v>610</v>
      </c>
      <c r="B254" s="645" t="s">
        <v>47</v>
      </c>
      <c r="C254" s="651">
        <v>23431</v>
      </c>
      <c r="D254" s="652">
        <v>41886</v>
      </c>
      <c r="E254" s="473" t="s">
        <v>501</v>
      </c>
      <c r="F254" s="1029" t="s">
        <v>49</v>
      </c>
      <c r="G254" s="472" t="s">
        <v>398</v>
      </c>
      <c r="H254" s="472" t="s">
        <v>393</v>
      </c>
      <c r="I254" s="474" t="s">
        <v>23</v>
      </c>
      <c r="J254" s="474" t="s">
        <v>18</v>
      </c>
      <c r="K254" s="475" t="s">
        <v>36</v>
      </c>
      <c r="L254" s="861" t="str">
        <f t="shared" si="15"/>
        <v>salarié</v>
      </c>
      <c r="M254" s="485" t="s">
        <v>48</v>
      </c>
      <c r="N254" s="485" t="s">
        <v>0</v>
      </c>
      <c r="O254" s="486">
        <v>1</v>
      </c>
      <c r="P254" s="481" t="s">
        <v>59</v>
      </c>
      <c r="Q254" s="482" t="s">
        <v>33</v>
      </c>
      <c r="R254" s="478">
        <v>1</v>
      </c>
      <c r="S254" s="479">
        <v>7</v>
      </c>
      <c r="T254" s="1">
        <v>21760</v>
      </c>
      <c r="U254" s="656">
        <v>19351.693647972817</v>
      </c>
      <c r="V254" s="479">
        <v>250</v>
      </c>
      <c r="W254" s="483">
        <v>1</v>
      </c>
      <c r="X254" s="476">
        <v>0</v>
      </c>
      <c r="Y254" s="476">
        <v>1</v>
      </c>
      <c r="Z254" s="476">
        <v>0</v>
      </c>
      <c r="AA254" s="646" t="s">
        <v>999</v>
      </c>
      <c r="AB254" s="647">
        <f t="shared" si="16"/>
        <v>56</v>
      </c>
      <c r="AC254" s="647">
        <f t="shared" si="17"/>
        <v>5</v>
      </c>
      <c r="AD254" s="648" t="str">
        <f>IF(AB254="","",VLOOKUP(AB254,trancheage[],2,TRUE))</f>
        <v>50 ans et plus</v>
      </c>
      <c r="AE254" s="648" t="str">
        <f>IFERROR(VLOOKUP(AC254,trancheanciennete[],2,TRUE),"")</f>
        <v>2 : 5-9</v>
      </c>
      <c r="AF254" s="649" t="str">
        <f>IF(T254&gt;0,VLOOKUP(T254,Trancheremuneration[],2,TRUE),"")</f>
        <v>4: 20 000-23 000</v>
      </c>
      <c r="AG254" s="650">
        <f t="shared" si="18"/>
        <v>19601.693647972817</v>
      </c>
      <c r="AH254" s="631" t="str">
        <f t="shared" si="19"/>
        <v>catégorie 2</v>
      </c>
      <c r="AI254" s="631"/>
    </row>
    <row r="255" spans="1:35" ht="14">
      <c r="A255" t="s">
        <v>820</v>
      </c>
      <c r="B255" s="645" t="s">
        <v>47</v>
      </c>
      <c r="C255" s="651">
        <v>31796</v>
      </c>
      <c r="D255" s="652">
        <v>41887</v>
      </c>
      <c r="E255" s="473" t="s">
        <v>505</v>
      </c>
      <c r="F255" s="1029" t="s">
        <v>49</v>
      </c>
      <c r="G255" s="472" t="s">
        <v>399</v>
      </c>
      <c r="H255" s="472" t="s">
        <v>394</v>
      </c>
      <c r="I255" s="474" t="s">
        <v>22</v>
      </c>
      <c r="J255" s="474" t="s">
        <v>29</v>
      </c>
      <c r="K255" s="475" t="s">
        <v>43</v>
      </c>
      <c r="L255" s="861" t="str">
        <f t="shared" si="15"/>
        <v>salarié</v>
      </c>
      <c r="M255" s="485" t="s">
        <v>40</v>
      </c>
      <c r="N255" s="485" t="s">
        <v>0</v>
      </c>
      <c r="O255" s="486">
        <v>1</v>
      </c>
      <c r="P255" s="481" t="s">
        <v>58</v>
      </c>
      <c r="Q255" s="482" t="s">
        <v>33</v>
      </c>
      <c r="R255" s="478">
        <v>1</v>
      </c>
      <c r="S255" s="479">
        <v>28</v>
      </c>
      <c r="T255" s="1">
        <v>24280</v>
      </c>
      <c r="U255" s="656">
        <v>40705.97371992001</v>
      </c>
      <c r="V255" s="479">
        <v>250</v>
      </c>
      <c r="W255" s="483">
        <v>1</v>
      </c>
      <c r="X255" s="476">
        <v>0</v>
      </c>
      <c r="Y255" s="476">
        <v>1</v>
      </c>
      <c r="Z255" s="476">
        <v>0</v>
      </c>
      <c r="AA255" s="646" t="s">
        <v>999</v>
      </c>
      <c r="AB255" s="647">
        <f t="shared" si="16"/>
        <v>33</v>
      </c>
      <c r="AC255" s="647">
        <f t="shared" si="17"/>
        <v>5</v>
      </c>
      <c r="AD255" s="648" t="str">
        <f>IF(AB255="","",VLOOKUP(AB255,trancheage[],2,TRUE))</f>
        <v>30 à 39 ans</v>
      </c>
      <c r="AE255" s="648" t="str">
        <f>IFERROR(VLOOKUP(AC255,trancheanciennete[],2,TRUE),"")</f>
        <v>2 : 5-9</v>
      </c>
      <c r="AF255" s="649" t="str">
        <f>IF(T255&gt;0,VLOOKUP(T255,Trancheremuneration[],2,TRUE),"")</f>
        <v>5 : + de 23 000</v>
      </c>
      <c r="AG255" s="650">
        <f t="shared" si="18"/>
        <v>40955.97371992001</v>
      </c>
      <c r="AH255" s="631" t="str">
        <f t="shared" si="19"/>
        <v>catégorie 3</v>
      </c>
      <c r="AI255" s="631"/>
    </row>
    <row r="256" spans="1:35" ht="14">
      <c r="A256" t="s">
        <v>821</v>
      </c>
      <c r="B256" s="645" t="s">
        <v>47</v>
      </c>
      <c r="C256" s="651">
        <v>34729</v>
      </c>
      <c r="D256" s="652">
        <v>41896</v>
      </c>
      <c r="E256" s="473" t="s">
        <v>503</v>
      </c>
      <c r="F256" s="1029" t="s">
        <v>49</v>
      </c>
      <c r="G256" s="472" t="s">
        <v>395</v>
      </c>
      <c r="H256" s="472" t="s">
        <v>392</v>
      </c>
      <c r="I256" s="474" t="s">
        <v>22</v>
      </c>
      <c r="J256" s="474" t="s">
        <v>28</v>
      </c>
      <c r="K256" s="475" t="s">
        <v>43</v>
      </c>
      <c r="L256" s="861" t="str">
        <f t="shared" si="15"/>
        <v>salarié</v>
      </c>
      <c r="M256" s="483" t="s">
        <v>48</v>
      </c>
      <c r="N256" s="483" t="s">
        <v>0</v>
      </c>
      <c r="O256" s="486">
        <v>1</v>
      </c>
      <c r="P256" s="481" t="s">
        <v>58</v>
      </c>
      <c r="Q256" s="482" t="s">
        <v>33</v>
      </c>
      <c r="R256" s="478">
        <v>1</v>
      </c>
      <c r="S256" s="479">
        <v>14</v>
      </c>
      <c r="T256" s="1">
        <v>36400</v>
      </c>
      <c r="U256" s="656">
        <v>21482.696396953514</v>
      </c>
      <c r="V256" s="479">
        <v>250</v>
      </c>
      <c r="W256" s="483">
        <v>1</v>
      </c>
      <c r="X256" s="476">
        <v>0</v>
      </c>
      <c r="Y256" s="476">
        <v>0</v>
      </c>
      <c r="Z256" s="476">
        <v>0</v>
      </c>
      <c r="AA256" s="646" t="s">
        <v>999</v>
      </c>
      <c r="AB256" s="647">
        <f t="shared" si="16"/>
        <v>25</v>
      </c>
      <c r="AC256" s="647">
        <f t="shared" si="17"/>
        <v>5</v>
      </c>
      <c r="AD256" s="648" t="str">
        <f>IF(AB256="","",VLOOKUP(AB256,trancheage[],2,TRUE))</f>
        <v>Moins de 30 ans</v>
      </c>
      <c r="AE256" s="648" t="str">
        <f>IFERROR(VLOOKUP(AC256,trancheanciennete[],2,TRUE),"")</f>
        <v>2 : 5-9</v>
      </c>
      <c r="AF256" s="649" t="str">
        <f>IF(T256&gt;0,VLOOKUP(T256,Trancheremuneration[],2,TRUE),"")</f>
        <v>5 : + de 23 000</v>
      </c>
      <c r="AG256" s="650">
        <f t="shared" si="18"/>
        <v>21732.696396953514</v>
      </c>
      <c r="AH256" s="631" t="str">
        <f t="shared" si="19"/>
        <v>catégorie 1</v>
      </c>
      <c r="AI256" s="631"/>
    </row>
    <row r="257" spans="1:35" ht="14">
      <c r="A257" t="s">
        <v>822</v>
      </c>
      <c r="B257" s="645" t="s">
        <v>27</v>
      </c>
      <c r="C257" s="651">
        <v>27184</v>
      </c>
      <c r="D257" s="652">
        <v>41925</v>
      </c>
      <c r="E257" s="473" t="s">
        <v>501</v>
      </c>
      <c r="F257" s="1029" t="s">
        <v>50</v>
      </c>
      <c r="G257" s="472" t="s">
        <v>395</v>
      </c>
      <c r="H257" s="472" t="s">
        <v>392</v>
      </c>
      <c r="I257" s="474" t="s">
        <v>22</v>
      </c>
      <c r="J257" s="474" t="s">
        <v>28</v>
      </c>
      <c r="K257" s="475" t="s">
        <v>43</v>
      </c>
      <c r="L257" s="861" t="str">
        <f t="shared" si="15"/>
        <v>salarié</v>
      </c>
      <c r="M257" s="483" t="s">
        <v>48</v>
      </c>
      <c r="N257" s="483" t="s">
        <v>0</v>
      </c>
      <c r="O257" s="486">
        <v>1</v>
      </c>
      <c r="P257" s="481" t="s">
        <v>58</v>
      </c>
      <c r="Q257" s="482" t="s">
        <v>31</v>
      </c>
      <c r="R257" s="478">
        <v>0</v>
      </c>
      <c r="S257" s="479">
        <v>7</v>
      </c>
      <c r="T257" s="1">
        <v>19600</v>
      </c>
      <c r="U257" s="656">
        <v>55231.13249129249</v>
      </c>
      <c r="V257" s="479">
        <v>500</v>
      </c>
      <c r="W257" s="483">
        <v>0</v>
      </c>
      <c r="X257" s="476">
        <v>1</v>
      </c>
      <c r="Y257" s="476">
        <v>0</v>
      </c>
      <c r="Z257" s="476">
        <v>0</v>
      </c>
      <c r="AA257" s="646" t="s">
        <v>999</v>
      </c>
      <c r="AB257" s="647">
        <f t="shared" si="16"/>
        <v>46</v>
      </c>
      <c r="AC257" s="647">
        <f t="shared" si="17"/>
        <v>5</v>
      </c>
      <c r="AD257" s="648" t="str">
        <f>IF(AB257="","",VLOOKUP(AB257,trancheage[],2,TRUE))</f>
        <v>40 à 49 ans</v>
      </c>
      <c r="AE257" s="648" t="str">
        <f>IFERROR(VLOOKUP(AC257,trancheanciennete[],2,TRUE),"")</f>
        <v>2 : 5-9</v>
      </c>
      <c r="AF257" s="649" t="str">
        <f>IF(T257&gt;0,VLOOKUP(T257,Trancheremuneration[],2,TRUE),"")</f>
        <v>3:17 000-20 000</v>
      </c>
      <c r="AG257" s="650">
        <f t="shared" si="18"/>
        <v>55731.13249129249</v>
      </c>
      <c r="AH257" s="631" t="str">
        <f t="shared" si="19"/>
        <v>catégorie 1</v>
      </c>
      <c r="AI257" s="631"/>
    </row>
    <row r="258" spans="1:35" ht="14">
      <c r="A258" t="s">
        <v>823</v>
      </c>
      <c r="B258" s="645" t="s">
        <v>27</v>
      </c>
      <c r="C258" s="651">
        <v>30719</v>
      </c>
      <c r="D258" s="652">
        <v>41948</v>
      </c>
      <c r="E258" s="473" t="s">
        <v>501</v>
      </c>
      <c r="F258" s="1029" t="s">
        <v>50</v>
      </c>
      <c r="G258" s="472" t="s">
        <v>396</v>
      </c>
      <c r="H258" s="472" t="s">
        <v>394</v>
      </c>
      <c r="I258" s="474" t="s">
        <v>23</v>
      </c>
      <c r="J258" s="474" t="s">
        <v>18</v>
      </c>
      <c r="K258" s="475" t="s">
        <v>306</v>
      </c>
      <c r="L258" s="861" t="str">
        <f t="shared" si="15"/>
        <v>salarié</v>
      </c>
      <c r="M258" s="485" t="s">
        <v>48</v>
      </c>
      <c r="N258" s="485" t="s">
        <v>0</v>
      </c>
      <c r="O258" s="486">
        <v>1</v>
      </c>
      <c r="P258" s="481" t="s">
        <v>58</v>
      </c>
      <c r="Q258" s="482" t="s">
        <v>31</v>
      </c>
      <c r="R258" s="478">
        <v>1</v>
      </c>
      <c r="S258" s="479">
        <v>0</v>
      </c>
      <c r="T258" s="1">
        <v>49840</v>
      </c>
      <c r="U258" s="656">
        <v>28565.104428200088</v>
      </c>
      <c r="V258" s="479">
        <v>500</v>
      </c>
      <c r="W258" s="483">
        <v>1</v>
      </c>
      <c r="X258" s="476">
        <v>1</v>
      </c>
      <c r="Y258" s="476">
        <v>0</v>
      </c>
      <c r="Z258" s="476">
        <v>0</v>
      </c>
      <c r="AA258" s="646" t="s">
        <v>999</v>
      </c>
      <c r="AB258" s="647">
        <f t="shared" si="16"/>
        <v>36</v>
      </c>
      <c r="AC258" s="647">
        <f t="shared" si="17"/>
        <v>5</v>
      </c>
      <c r="AD258" s="648" t="str">
        <f>IF(AB258="","",VLOOKUP(AB258,trancheage[],2,TRUE))</f>
        <v>30 à 39 ans</v>
      </c>
      <c r="AE258" s="648" t="str">
        <f>IFERROR(VLOOKUP(AC258,trancheanciennete[],2,TRUE),"")</f>
        <v>2 : 5-9</v>
      </c>
      <c r="AF258" s="649" t="str">
        <f>IF(T258&gt;0,VLOOKUP(T258,Trancheremuneration[],2,TRUE),"")</f>
        <v>5 : + de 23 000</v>
      </c>
      <c r="AG258" s="650">
        <f t="shared" si="18"/>
        <v>29065.104428200088</v>
      </c>
      <c r="AH258" s="631" t="str">
        <f t="shared" si="19"/>
        <v>catégorie 3</v>
      </c>
      <c r="AI258" s="631"/>
    </row>
    <row r="259" spans="1:35" ht="14">
      <c r="A259" t="s">
        <v>588</v>
      </c>
      <c r="B259" s="645" t="s">
        <v>27</v>
      </c>
      <c r="C259" s="651">
        <v>33365</v>
      </c>
      <c r="D259" s="652">
        <v>41955</v>
      </c>
      <c r="E259" s="473" t="s">
        <v>504</v>
      </c>
      <c r="F259" s="1029" t="s">
        <v>3</v>
      </c>
      <c r="G259" s="472" t="s">
        <v>396</v>
      </c>
      <c r="H259" s="472" t="s">
        <v>392</v>
      </c>
      <c r="I259" s="474" t="s">
        <v>22</v>
      </c>
      <c r="J259" s="474" t="s">
        <v>28</v>
      </c>
      <c r="K259" s="475" t="s">
        <v>43</v>
      </c>
      <c r="L259" s="861" t="str">
        <f t="shared" si="15"/>
        <v>salarié</v>
      </c>
      <c r="M259" s="483" t="s">
        <v>48</v>
      </c>
      <c r="N259" s="483" t="s">
        <v>0</v>
      </c>
      <c r="O259" s="486">
        <v>0.8</v>
      </c>
      <c r="P259" s="481" t="s">
        <v>59</v>
      </c>
      <c r="Q259" s="482" t="s">
        <v>32</v>
      </c>
      <c r="R259" s="478">
        <v>0</v>
      </c>
      <c r="S259" s="479">
        <v>0</v>
      </c>
      <c r="T259" s="1">
        <v>25000</v>
      </c>
      <c r="U259" s="656">
        <v>22153.990747239281</v>
      </c>
      <c r="V259" s="479">
        <v>250</v>
      </c>
      <c r="W259" s="483">
        <v>0</v>
      </c>
      <c r="X259" s="476">
        <v>0</v>
      </c>
      <c r="Y259" s="476">
        <v>0</v>
      </c>
      <c r="Z259" s="476">
        <v>0</v>
      </c>
      <c r="AA259" s="646" t="s">
        <v>999</v>
      </c>
      <c r="AB259" s="647">
        <f t="shared" si="16"/>
        <v>29</v>
      </c>
      <c r="AC259" s="647">
        <f t="shared" si="17"/>
        <v>5</v>
      </c>
      <c r="AD259" s="648" t="str">
        <f>IF(AB259="","",VLOOKUP(AB259,trancheage[],2,TRUE))</f>
        <v>Moins de 30 ans</v>
      </c>
      <c r="AE259" s="648" t="str">
        <f>IFERROR(VLOOKUP(AC259,trancheanciennete[],2,TRUE),"")</f>
        <v>2 : 5-9</v>
      </c>
      <c r="AF259" s="649" t="str">
        <f>IF(T259&gt;0,VLOOKUP(T259,Trancheremuneration[],2,TRUE),"")</f>
        <v>5 : + de 23 000</v>
      </c>
      <c r="AG259" s="650">
        <f t="shared" si="18"/>
        <v>26834.788896687136</v>
      </c>
      <c r="AH259" s="631" t="str">
        <f t="shared" si="19"/>
        <v>catégorie 1</v>
      </c>
      <c r="AI259" s="631"/>
    </row>
    <row r="260" spans="1:35" ht="14">
      <c r="A260" t="s">
        <v>824</v>
      </c>
      <c r="B260" s="645" t="s">
        <v>27</v>
      </c>
      <c r="C260" s="651">
        <v>34883</v>
      </c>
      <c r="D260" s="652">
        <v>42005</v>
      </c>
      <c r="E260" s="473" t="s">
        <v>501</v>
      </c>
      <c r="F260" s="1029" t="s">
        <v>3</v>
      </c>
      <c r="G260" s="472" t="s">
        <v>397</v>
      </c>
      <c r="H260" s="472" t="s">
        <v>392</v>
      </c>
      <c r="I260" s="474" t="s">
        <v>23</v>
      </c>
      <c r="J260" s="474" t="s">
        <v>18</v>
      </c>
      <c r="K260" s="475" t="s">
        <v>11</v>
      </c>
      <c r="L260" s="861" t="str">
        <f t="shared" si="15"/>
        <v>salarié</v>
      </c>
      <c r="M260" s="485" t="s">
        <v>48</v>
      </c>
      <c r="N260" s="485" t="s">
        <v>0</v>
      </c>
      <c r="O260" s="486">
        <v>0.8</v>
      </c>
      <c r="P260" s="481" t="s">
        <v>59</v>
      </c>
      <c r="Q260" s="482" t="s">
        <v>32</v>
      </c>
      <c r="R260" s="478">
        <v>0</v>
      </c>
      <c r="S260" s="479">
        <v>0</v>
      </c>
      <c r="T260" s="1">
        <v>22720</v>
      </c>
      <c r="U260" s="656">
        <v>29615.722811342021</v>
      </c>
      <c r="V260" s="479">
        <v>250</v>
      </c>
      <c r="W260" s="483">
        <v>0</v>
      </c>
      <c r="X260" s="476">
        <v>1</v>
      </c>
      <c r="Y260" s="476">
        <v>0</v>
      </c>
      <c r="Z260" s="476">
        <v>0</v>
      </c>
      <c r="AA260" s="646" t="s">
        <v>999</v>
      </c>
      <c r="AB260" s="647">
        <f t="shared" si="16"/>
        <v>25</v>
      </c>
      <c r="AC260" s="647">
        <f t="shared" si="17"/>
        <v>5</v>
      </c>
      <c r="AD260" s="648" t="str">
        <f>IF(AB260="","",VLOOKUP(AB260,trancheage[],2,TRUE))</f>
        <v>Moins de 30 ans</v>
      </c>
      <c r="AE260" s="648" t="str">
        <f>IFERROR(VLOOKUP(AC260,trancheanciennete[],2,TRUE),"")</f>
        <v>2 : 5-9</v>
      </c>
      <c r="AF260" s="649" t="str">
        <f>IF(T260&gt;0,VLOOKUP(T260,Trancheremuneration[],2,TRUE),"")</f>
        <v>4: 20 000-23 000</v>
      </c>
      <c r="AG260" s="650">
        <f t="shared" si="18"/>
        <v>35788.867373610425</v>
      </c>
      <c r="AH260" s="631" t="str">
        <f t="shared" si="19"/>
        <v>catégorie 1</v>
      </c>
      <c r="AI260" s="631"/>
    </row>
    <row r="261" spans="1:35" ht="14">
      <c r="A261" t="s">
        <v>825</v>
      </c>
      <c r="B261" s="645" t="s">
        <v>27</v>
      </c>
      <c r="C261" s="651">
        <v>35950</v>
      </c>
      <c r="D261" s="652">
        <v>42013</v>
      </c>
      <c r="E261" s="473" t="s">
        <v>501</v>
      </c>
      <c r="F261" s="1029" t="s">
        <v>3</v>
      </c>
      <c r="G261" s="472" t="s">
        <v>398</v>
      </c>
      <c r="H261" s="472" t="s">
        <v>392</v>
      </c>
      <c r="I261" s="474" t="s">
        <v>23</v>
      </c>
      <c r="J261" s="474" t="s">
        <v>18</v>
      </c>
      <c r="K261" s="475" t="s">
        <v>44</v>
      </c>
      <c r="L261" s="861" t="str">
        <f t="shared" si="15"/>
        <v>salarié</v>
      </c>
      <c r="M261" s="485" t="s">
        <v>42</v>
      </c>
      <c r="N261" s="485" t="s">
        <v>0</v>
      </c>
      <c r="O261" s="486">
        <v>1</v>
      </c>
      <c r="P261" s="481" t="s">
        <v>59</v>
      </c>
      <c r="Q261" s="482" t="s">
        <v>30</v>
      </c>
      <c r="R261" s="478">
        <v>0</v>
      </c>
      <c r="S261" s="479">
        <v>14</v>
      </c>
      <c r="T261" s="1">
        <v>34720</v>
      </c>
      <c r="U261" s="656">
        <v>63297.413159511823</v>
      </c>
      <c r="V261" s="479">
        <v>250</v>
      </c>
      <c r="W261" s="483">
        <v>0</v>
      </c>
      <c r="X261" s="476">
        <v>0</v>
      </c>
      <c r="Y261" s="476">
        <v>1</v>
      </c>
      <c r="Z261" s="476">
        <v>0</v>
      </c>
      <c r="AA261" s="646" t="s">
        <v>999</v>
      </c>
      <c r="AB261" s="647">
        <f t="shared" si="16"/>
        <v>22</v>
      </c>
      <c r="AC261" s="647">
        <f t="shared" si="17"/>
        <v>5</v>
      </c>
      <c r="AD261" s="648" t="str">
        <f>IF(AB261="","",VLOOKUP(AB261,trancheage[],2,TRUE))</f>
        <v>Moins de 30 ans</v>
      </c>
      <c r="AE261" s="648" t="str">
        <f>IFERROR(VLOOKUP(AC261,trancheanciennete[],2,TRUE),"")</f>
        <v>2 : 5-9</v>
      </c>
      <c r="AF261" s="649" t="str">
        <f>IF(T261&gt;0,VLOOKUP(T261,Trancheremuneration[],2,TRUE),"")</f>
        <v>5 : + de 23 000</v>
      </c>
      <c r="AG261" s="650">
        <f t="shared" si="18"/>
        <v>63547.413159511823</v>
      </c>
      <c r="AH261" s="631" t="str">
        <f t="shared" si="19"/>
        <v>catégorie 1</v>
      </c>
      <c r="AI261" s="631"/>
    </row>
    <row r="262" spans="1:35" ht="14">
      <c r="A262" t="s">
        <v>826</v>
      </c>
      <c r="B262" s="645" t="s">
        <v>27</v>
      </c>
      <c r="C262" s="651">
        <v>33315</v>
      </c>
      <c r="D262" s="652">
        <v>42019</v>
      </c>
      <c r="E262" s="473" t="s">
        <v>501</v>
      </c>
      <c r="F262" s="1029" t="s">
        <v>50</v>
      </c>
      <c r="G262" s="472" t="s">
        <v>399</v>
      </c>
      <c r="H262" s="472" t="s">
        <v>392</v>
      </c>
      <c r="I262" s="474" t="s">
        <v>22</v>
      </c>
      <c r="J262" s="474" t="s">
        <v>28</v>
      </c>
      <c r="K262" s="475" t="s">
        <v>43</v>
      </c>
      <c r="L262" s="861" t="str">
        <f t="shared" si="15"/>
        <v>salarié</v>
      </c>
      <c r="M262" s="485" t="s">
        <v>48</v>
      </c>
      <c r="N262" s="485" t="s">
        <v>1</v>
      </c>
      <c r="O262" s="486">
        <v>0.8</v>
      </c>
      <c r="P262" s="481" t="s">
        <v>59</v>
      </c>
      <c r="Q262" s="482" t="s">
        <v>30</v>
      </c>
      <c r="R262" s="478">
        <v>0</v>
      </c>
      <c r="S262" s="479">
        <v>14</v>
      </c>
      <c r="T262" s="1">
        <v>61000</v>
      </c>
      <c r="U262" s="656">
        <v>34396.47936039092</v>
      </c>
      <c r="V262" s="479">
        <v>250</v>
      </c>
      <c r="W262" s="483">
        <v>0</v>
      </c>
      <c r="X262" s="476">
        <v>0</v>
      </c>
      <c r="Y262" s="476">
        <v>0</v>
      </c>
      <c r="Z262" s="476">
        <v>0</v>
      </c>
      <c r="AA262" s="646" t="s">
        <v>999</v>
      </c>
      <c r="AB262" s="647">
        <f t="shared" si="16"/>
        <v>29</v>
      </c>
      <c r="AC262" s="647">
        <f t="shared" si="17"/>
        <v>5</v>
      </c>
      <c r="AD262" s="648" t="str">
        <f>IF(AB262="","",VLOOKUP(AB262,trancheage[],2,TRUE))</f>
        <v>Moins de 30 ans</v>
      </c>
      <c r="AE262" s="648" t="str">
        <f>IFERROR(VLOOKUP(AC262,trancheanciennete[],2,TRUE),"")</f>
        <v>2 : 5-9</v>
      </c>
      <c r="AF262" s="649" t="str">
        <f>IF(T262&gt;0,VLOOKUP(T262,Trancheremuneration[],2,TRUE),"")</f>
        <v>5 : + de 23 000</v>
      </c>
      <c r="AG262" s="650">
        <f t="shared" si="18"/>
        <v>41525.775232469103</v>
      </c>
      <c r="AH262" s="631" t="str">
        <f t="shared" si="19"/>
        <v>catégorie 1</v>
      </c>
      <c r="AI262" s="631"/>
    </row>
    <row r="263" spans="1:35" ht="14">
      <c r="A263" t="s">
        <v>827</v>
      </c>
      <c r="B263" s="645" t="s">
        <v>27</v>
      </c>
      <c r="C263" s="651">
        <v>23983</v>
      </c>
      <c r="D263" s="652">
        <v>42040</v>
      </c>
      <c r="E263" s="473" t="s">
        <v>504</v>
      </c>
      <c r="F263" s="1029" t="s">
        <v>3</v>
      </c>
      <c r="G263" s="472" t="s">
        <v>397</v>
      </c>
      <c r="H263" s="472" t="s">
        <v>392</v>
      </c>
      <c r="I263" s="474" t="s">
        <v>22</v>
      </c>
      <c r="J263" s="474" t="s">
        <v>28</v>
      </c>
      <c r="K263" s="475" t="s">
        <v>43</v>
      </c>
      <c r="L263" s="861" t="str">
        <f t="shared" si="15"/>
        <v>salarié</v>
      </c>
      <c r="M263" s="485" t="s">
        <v>42</v>
      </c>
      <c r="N263" s="485" t="s">
        <v>1</v>
      </c>
      <c r="O263" s="486">
        <v>0.5</v>
      </c>
      <c r="P263" s="481" t="s">
        <v>59</v>
      </c>
      <c r="Q263" s="482" t="s">
        <v>31</v>
      </c>
      <c r="R263" s="478">
        <v>0</v>
      </c>
      <c r="S263" s="479">
        <v>0</v>
      </c>
      <c r="T263" s="1">
        <v>28600</v>
      </c>
      <c r="U263" s="656">
        <v>31455.664534208503</v>
      </c>
      <c r="V263" s="479">
        <v>250</v>
      </c>
      <c r="W263" s="483">
        <v>0</v>
      </c>
      <c r="X263" s="476">
        <v>1</v>
      </c>
      <c r="Y263" s="476">
        <v>0</v>
      </c>
      <c r="Z263" s="476">
        <v>0</v>
      </c>
      <c r="AA263" s="646" t="s">
        <v>999</v>
      </c>
      <c r="AB263" s="647">
        <f t="shared" si="16"/>
        <v>55</v>
      </c>
      <c r="AC263" s="647">
        <f t="shared" si="17"/>
        <v>5</v>
      </c>
      <c r="AD263" s="648" t="str">
        <f>IF(AB263="","",VLOOKUP(AB263,trancheage[],2,TRUE))</f>
        <v>50 ans et plus</v>
      </c>
      <c r="AE263" s="648" t="str">
        <f>IFERROR(VLOOKUP(AC263,trancheanciennete[],2,TRUE),"")</f>
        <v>2 : 5-9</v>
      </c>
      <c r="AF263" s="649" t="str">
        <f>IF(T263&gt;0,VLOOKUP(T263,Trancheremuneration[],2,TRUE),"")</f>
        <v>5 : + de 23 000</v>
      </c>
      <c r="AG263" s="650">
        <f t="shared" si="18"/>
        <v>47433.496801312751</v>
      </c>
      <c r="AH263" s="631" t="str">
        <f t="shared" si="19"/>
        <v>catégorie 1</v>
      </c>
      <c r="AI263" s="631"/>
    </row>
    <row r="264" spans="1:35" ht="14">
      <c r="A264" t="s">
        <v>828</v>
      </c>
      <c r="B264" s="645" t="s">
        <v>27</v>
      </c>
      <c r="C264" s="651">
        <v>36165</v>
      </c>
      <c r="D264" s="652">
        <v>42051</v>
      </c>
      <c r="E264" s="473" t="s">
        <v>501</v>
      </c>
      <c r="F264" s="1029" t="s">
        <v>3</v>
      </c>
      <c r="G264" s="472" t="s">
        <v>398</v>
      </c>
      <c r="H264" s="472" t="s">
        <v>392</v>
      </c>
      <c r="I264" s="474" t="s">
        <v>22</v>
      </c>
      <c r="J264" s="474" t="s">
        <v>28</v>
      </c>
      <c r="K264" s="475" t="s">
        <v>43</v>
      </c>
      <c r="L264" s="861" t="str">
        <f t="shared" si="15"/>
        <v>salarié</v>
      </c>
      <c r="M264" s="485" t="s">
        <v>48</v>
      </c>
      <c r="N264" s="485" t="s">
        <v>1</v>
      </c>
      <c r="O264" s="486">
        <v>1</v>
      </c>
      <c r="P264" s="481" t="s">
        <v>59</v>
      </c>
      <c r="Q264" s="482" t="s">
        <v>31</v>
      </c>
      <c r="R264" s="478">
        <v>0</v>
      </c>
      <c r="S264" s="479">
        <v>0</v>
      </c>
      <c r="T264" s="1">
        <v>37840</v>
      </c>
      <c r="U264" s="656">
        <v>25871.461468719062</v>
      </c>
      <c r="V264" s="479">
        <v>100</v>
      </c>
      <c r="W264" s="483">
        <v>0</v>
      </c>
      <c r="X264" s="476">
        <v>1</v>
      </c>
      <c r="Y264" s="476">
        <v>0</v>
      </c>
      <c r="Z264" s="476">
        <v>0</v>
      </c>
      <c r="AA264" s="646" t="s">
        <v>999</v>
      </c>
      <c r="AB264" s="647">
        <f t="shared" si="16"/>
        <v>21</v>
      </c>
      <c r="AC264" s="647">
        <f t="shared" si="17"/>
        <v>5</v>
      </c>
      <c r="AD264" s="648" t="str">
        <f>IF(AB264="","",VLOOKUP(AB264,trancheage[],2,TRUE))</f>
        <v>Moins de 30 ans</v>
      </c>
      <c r="AE264" s="648" t="str">
        <f>IFERROR(VLOOKUP(AC264,trancheanciennete[],2,TRUE),"")</f>
        <v>2 : 5-9</v>
      </c>
      <c r="AF264" s="649" t="str">
        <f>IF(T264&gt;0,VLOOKUP(T264,Trancheremuneration[],2,TRUE),"")</f>
        <v>5 : + de 23 000</v>
      </c>
      <c r="AG264" s="650">
        <f t="shared" si="18"/>
        <v>25971.461468719062</v>
      </c>
      <c r="AH264" s="631" t="str">
        <f t="shared" si="19"/>
        <v>catégorie 1</v>
      </c>
      <c r="AI264" s="631"/>
    </row>
    <row r="265" spans="1:35" ht="14">
      <c r="A265" t="s">
        <v>829</v>
      </c>
      <c r="B265" s="645" t="s">
        <v>47</v>
      </c>
      <c r="C265" s="651">
        <v>28062</v>
      </c>
      <c r="D265" s="652">
        <v>42074</v>
      </c>
      <c r="E265" s="473" t="s">
        <v>505</v>
      </c>
      <c r="F265" s="1029" t="s">
        <v>49</v>
      </c>
      <c r="G265" s="472" t="s">
        <v>395</v>
      </c>
      <c r="H265" s="472" t="s">
        <v>392</v>
      </c>
      <c r="I265" s="474" t="s">
        <v>22</v>
      </c>
      <c r="J265" s="474" t="s">
        <v>28</v>
      </c>
      <c r="K265" s="475" t="s">
        <v>56</v>
      </c>
      <c r="L265" s="861" t="str">
        <f t="shared" si="15"/>
        <v>salarié</v>
      </c>
      <c r="M265" s="485" t="s">
        <v>48</v>
      </c>
      <c r="N265" s="485" t="s">
        <v>1</v>
      </c>
      <c r="O265" s="486">
        <v>0.8</v>
      </c>
      <c r="P265" s="481" t="s">
        <v>59</v>
      </c>
      <c r="Q265" s="482" t="s">
        <v>30</v>
      </c>
      <c r="R265" s="478">
        <v>1</v>
      </c>
      <c r="S265" s="479">
        <v>21</v>
      </c>
      <c r="T265" s="1">
        <v>23440</v>
      </c>
      <c r="U265" s="656">
        <v>35783.501524842031</v>
      </c>
      <c r="V265" s="479">
        <v>250</v>
      </c>
      <c r="W265" s="483">
        <v>1</v>
      </c>
      <c r="X265" s="476">
        <v>0</v>
      </c>
      <c r="Y265" s="476">
        <v>0</v>
      </c>
      <c r="Z265" s="476">
        <v>0</v>
      </c>
      <c r="AA265" s="646" t="s">
        <v>999</v>
      </c>
      <c r="AB265" s="647">
        <f t="shared" si="16"/>
        <v>43</v>
      </c>
      <c r="AC265" s="647">
        <f t="shared" si="17"/>
        <v>5</v>
      </c>
      <c r="AD265" s="648" t="str">
        <f>IF(AB265="","",VLOOKUP(AB265,trancheage[],2,TRUE))</f>
        <v>40 à 49 ans</v>
      </c>
      <c r="AE265" s="648" t="str">
        <f>IFERROR(VLOOKUP(AC265,trancheanciennete[],2,TRUE),"")</f>
        <v>2 : 5-9</v>
      </c>
      <c r="AF265" s="649" t="str">
        <f>IF(T265&gt;0,VLOOKUP(T265,Trancheremuneration[],2,TRUE),"")</f>
        <v>5 : + de 23 000</v>
      </c>
      <c r="AG265" s="650">
        <f t="shared" si="18"/>
        <v>43190.201829810438</v>
      </c>
      <c r="AH265" s="631" t="str">
        <f t="shared" si="19"/>
        <v>catégorie 1</v>
      </c>
      <c r="AI265" s="631"/>
    </row>
    <row r="266" spans="1:35" ht="14">
      <c r="A266" t="s">
        <v>830</v>
      </c>
      <c r="B266" s="645" t="s">
        <v>27</v>
      </c>
      <c r="C266" s="651">
        <v>36290</v>
      </c>
      <c r="D266" s="652">
        <v>42098</v>
      </c>
      <c r="E266" s="473" t="s">
        <v>504</v>
      </c>
      <c r="F266" s="1029" t="s">
        <v>3</v>
      </c>
      <c r="G266" s="472" t="s">
        <v>395</v>
      </c>
      <c r="H266" s="472" t="s">
        <v>392</v>
      </c>
      <c r="I266" s="474" t="s">
        <v>22</v>
      </c>
      <c r="J266" s="474" t="s">
        <v>28</v>
      </c>
      <c r="K266" s="475" t="s">
        <v>35</v>
      </c>
      <c r="L266" s="861" t="str">
        <f t="shared" si="15"/>
        <v>salarié</v>
      </c>
      <c r="M266" s="485" t="s">
        <v>48</v>
      </c>
      <c r="N266" s="485" t="s">
        <v>1</v>
      </c>
      <c r="O266" s="486">
        <v>0.8</v>
      </c>
      <c r="P266" s="481" t="s">
        <v>59</v>
      </c>
      <c r="Q266" s="482" t="s">
        <v>32</v>
      </c>
      <c r="R266" s="478">
        <v>0</v>
      </c>
      <c r="S266" s="479">
        <v>0</v>
      </c>
      <c r="T266" s="1">
        <v>37240</v>
      </c>
      <c r="U266" s="656">
        <v>47150.209801328267</v>
      </c>
      <c r="V266" s="479">
        <v>100</v>
      </c>
      <c r="W266" s="483">
        <v>0</v>
      </c>
      <c r="X266" s="476">
        <v>1</v>
      </c>
      <c r="Y266" s="476">
        <v>0</v>
      </c>
      <c r="Z266" s="476">
        <v>0</v>
      </c>
      <c r="AA266" s="646" t="s">
        <v>999</v>
      </c>
      <c r="AB266" s="647">
        <f t="shared" si="16"/>
        <v>21</v>
      </c>
      <c r="AC266" s="647">
        <f t="shared" si="17"/>
        <v>5</v>
      </c>
      <c r="AD266" s="648" t="str">
        <f>IF(AB266="","",VLOOKUP(AB266,trancheage[],2,TRUE))</f>
        <v>Moins de 30 ans</v>
      </c>
      <c r="AE266" s="648" t="str">
        <f>IFERROR(VLOOKUP(AC266,trancheanciennete[],2,TRUE),"")</f>
        <v>2 : 5-9</v>
      </c>
      <c r="AF266" s="649" t="str">
        <f>IF(T266&gt;0,VLOOKUP(T266,Trancheremuneration[],2,TRUE),"")</f>
        <v>5 : + de 23 000</v>
      </c>
      <c r="AG266" s="650">
        <f t="shared" si="18"/>
        <v>56680.251761593921</v>
      </c>
      <c r="AH266" s="631" t="str">
        <f t="shared" si="19"/>
        <v>catégorie 1</v>
      </c>
      <c r="AI266" s="631"/>
    </row>
    <row r="267" spans="1:35" ht="14">
      <c r="A267" t="s">
        <v>831</v>
      </c>
      <c r="B267" s="645" t="s">
        <v>27</v>
      </c>
      <c r="C267" s="651">
        <v>30591</v>
      </c>
      <c r="D267" s="652">
        <v>42100</v>
      </c>
      <c r="E267" s="473" t="s">
        <v>501</v>
      </c>
      <c r="F267" s="1029" t="s">
        <v>50</v>
      </c>
      <c r="G267" s="472" t="s">
        <v>395</v>
      </c>
      <c r="H267" s="472" t="s">
        <v>392</v>
      </c>
      <c r="I267" s="474" t="s">
        <v>22</v>
      </c>
      <c r="J267" s="474" t="s">
        <v>28</v>
      </c>
      <c r="K267" s="475" t="s">
        <v>43</v>
      </c>
      <c r="L267" s="861" t="str">
        <f t="shared" si="15"/>
        <v>salarié</v>
      </c>
      <c r="M267" s="485" t="s">
        <v>48</v>
      </c>
      <c r="N267" s="485" t="s">
        <v>1</v>
      </c>
      <c r="O267" s="484">
        <v>0.8</v>
      </c>
      <c r="P267" s="476" t="s">
        <v>58</v>
      </c>
      <c r="Q267" s="477" t="s">
        <v>34</v>
      </c>
      <c r="R267" s="478">
        <v>1</v>
      </c>
      <c r="S267" s="479">
        <v>7</v>
      </c>
      <c r="T267" s="1">
        <v>43000</v>
      </c>
      <c r="U267" s="656">
        <v>58284.15753012606</v>
      </c>
      <c r="V267" s="479">
        <v>250</v>
      </c>
      <c r="W267" s="483">
        <v>1</v>
      </c>
      <c r="X267" s="476">
        <v>0</v>
      </c>
      <c r="Y267" s="476">
        <v>1</v>
      </c>
      <c r="Z267" s="476">
        <v>0</v>
      </c>
      <c r="AA267" s="646" t="s">
        <v>999</v>
      </c>
      <c r="AB267" s="647">
        <f t="shared" si="16"/>
        <v>36</v>
      </c>
      <c r="AC267" s="647">
        <f t="shared" si="17"/>
        <v>5</v>
      </c>
      <c r="AD267" s="648" t="str">
        <f>IF(AB267="","",VLOOKUP(AB267,trancheage[],2,TRUE))</f>
        <v>30 à 39 ans</v>
      </c>
      <c r="AE267" s="648" t="str">
        <f>IFERROR(VLOOKUP(AC267,trancheanciennete[],2,TRUE),"")</f>
        <v>2 : 5-9</v>
      </c>
      <c r="AF267" s="649" t="str">
        <f>IF(T267&gt;0,VLOOKUP(T267,Trancheremuneration[],2,TRUE),"")</f>
        <v>5 : + de 23 000</v>
      </c>
      <c r="AG267" s="650">
        <f t="shared" si="18"/>
        <v>70190.989036151266</v>
      </c>
      <c r="AH267" s="631" t="str">
        <f t="shared" si="19"/>
        <v>catégorie 1</v>
      </c>
      <c r="AI267" s="631"/>
    </row>
    <row r="268" spans="1:35" ht="14">
      <c r="A268" t="s">
        <v>832</v>
      </c>
      <c r="B268" s="645" t="s">
        <v>47</v>
      </c>
      <c r="C268" s="651">
        <v>35582</v>
      </c>
      <c r="D268" s="652">
        <v>42140</v>
      </c>
      <c r="E268" s="473" t="s">
        <v>501</v>
      </c>
      <c r="F268" s="1029" t="s">
        <v>49</v>
      </c>
      <c r="G268" s="472" t="s">
        <v>399</v>
      </c>
      <c r="H268" s="472" t="s">
        <v>392</v>
      </c>
      <c r="I268" s="474" t="s">
        <v>22</v>
      </c>
      <c r="J268" s="474" t="s">
        <v>29</v>
      </c>
      <c r="K268" s="475" t="s">
        <v>43</v>
      </c>
      <c r="L268" s="861" t="str">
        <f t="shared" si="15"/>
        <v>salarié</v>
      </c>
      <c r="M268" s="485" t="s">
        <v>48</v>
      </c>
      <c r="N268" s="485" t="s">
        <v>1</v>
      </c>
      <c r="O268" s="484">
        <v>0.5</v>
      </c>
      <c r="P268" s="476" t="s">
        <v>58</v>
      </c>
      <c r="Q268" s="477" t="s">
        <v>30</v>
      </c>
      <c r="R268" s="478">
        <v>0</v>
      </c>
      <c r="S268" s="479">
        <v>7</v>
      </c>
      <c r="T268" s="1">
        <v>57400</v>
      </c>
      <c r="U268" s="656">
        <v>22153.990747239281</v>
      </c>
      <c r="V268" s="479">
        <v>250</v>
      </c>
      <c r="W268" s="483">
        <v>0</v>
      </c>
      <c r="X268" s="476">
        <v>0</v>
      </c>
      <c r="Y268" s="476">
        <v>1</v>
      </c>
      <c r="Z268" s="476">
        <v>0</v>
      </c>
      <c r="AA268" s="646" t="s">
        <v>999</v>
      </c>
      <c r="AB268" s="647">
        <f t="shared" si="16"/>
        <v>23</v>
      </c>
      <c r="AC268" s="647">
        <f t="shared" si="17"/>
        <v>5</v>
      </c>
      <c r="AD268" s="648" t="str">
        <f>IF(AB268="","",VLOOKUP(AB268,trancheage[],2,TRUE))</f>
        <v>Moins de 30 ans</v>
      </c>
      <c r="AE268" s="648" t="str">
        <f>IFERROR(VLOOKUP(AC268,trancheanciennete[],2,TRUE),"")</f>
        <v>2 : 5-9</v>
      </c>
      <c r="AF268" s="649" t="str">
        <f>IF(T268&gt;0,VLOOKUP(T268,Trancheremuneration[],2,TRUE),"")</f>
        <v>5 : + de 23 000</v>
      </c>
      <c r="AG268" s="650">
        <f t="shared" si="18"/>
        <v>33480.986120858921</v>
      </c>
      <c r="AH268" s="631" t="str">
        <f t="shared" si="19"/>
        <v>catégorie 1</v>
      </c>
      <c r="AI268" s="631"/>
    </row>
    <row r="269" spans="1:35" ht="14">
      <c r="A269" t="s">
        <v>833</v>
      </c>
      <c r="B269" s="645" t="s">
        <v>47</v>
      </c>
      <c r="C269" s="651">
        <v>35973</v>
      </c>
      <c r="D269" s="652">
        <v>42183</v>
      </c>
      <c r="E269" s="473" t="s">
        <v>501</v>
      </c>
      <c r="F269" s="1029" t="s">
        <v>49</v>
      </c>
      <c r="G269" s="472" t="s">
        <v>396</v>
      </c>
      <c r="H269" s="472" t="s">
        <v>393</v>
      </c>
      <c r="I269" s="474" t="s">
        <v>38</v>
      </c>
      <c r="J269" s="474" t="s">
        <v>52</v>
      </c>
      <c r="K269" s="475" t="s">
        <v>37</v>
      </c>
      <c r="L269" s="861" t="str">
        <f t="shared" si="15"/>
        <v>salarié</v>
      </c>
      <c r="M269" s="485" t="s">
        <v>48</v>
      </c>
      <c r="N269" s="485" t="s">
        <v>1</v>
      </c>
      <c r="O269" s="486">
        <v>0.8</v>
      </c>
      <c r="P269" s="481" t="s">
        <v>58</v>
      </c>
      <c r="Q269" s="482" t="s">
        <v>34</v>
      </c>
      <c r="R269" s="478">
        <v>1</v>
      </c>
      <c r="S269" s="479">
        <v>14</v>
      </c>
      <c r="T269" s="1">
        <v>22720</v>
      </c>
      <c r="U269" s="656">
        <v>18441.716916400987</v>
      </c>
      <c r="V269" s="479">
        <v>250</v>
      </c>
      <c r="W269" s="483">
        <v>1</v>
      </c>
      <c r="X269" s="476">
        <v>0</v>
      </c>
      <c r="Y269" s="476">
        <v>0</v>
      </c>
      <c r="Z269" s="476">
        <v>0</v>
      </c>
      <c r="AA269" s="646" t="s">
        <v>999</v>
      </c>
      <c r="AB269" s="647">
        <f t="shared" si="16"/>
        <v>22</v>
      </c>
      <c r="AC269" s="647">
        <f t="shared" si="17"/>
        <v>5</v>
      </c>
      <c r="AD269" s="648" t="str">
        <f>IF(AB269="","",VLOOKUP(AB269,trancheage[],2,TRUE))</f>
        <v>Moins de 30 ans</v>
      </c>
      <c r="AE269" s="648" t="str">
        <f>IFERROR(VLOOKUP(AC269,trancheanciennete[],2,TRUE),"")</f>
        <v>2 : 5-9</v>
      </c>
      <c r="AF269" s="649" t="str">
        <f>IF(T269&gt;0,VLOOKUP(T269,Trancheremuneration[],2,TRUE),"")</f>
        <v>4: 20 000-23 000</v>
      </c>
      <c r="AG269" s="650">
        <f t="shared" si="18"/>
        <v>22380.060299681183</v>
      </c>
      <c r="AH269" s="631" t="str">
        <f t="shared" si="19"/>
        <v>catégorie 2</v>
      </c>
      <c r="AI269" s="631"/>
    </row>
    <row r="270" spans="1:35" ht="14">
      <c r="A270" t="s">
        <v>834</v>
      </c>
      <c r="B270" s="645" t="s">
        <v>47</v>
      </c>
      <c r="C270" s="651">
        <v>31990</v>
      </c>
      <c r="D270" s="652">
        <v>42190</v>
      </c>
      <c r="E270" s="473" t="s">
        <v>502</v>
      </c>
      <c r="F270" s="1029" t="s">
        <v>49</v>
      </c>
      <c r="G270" s="472" t="s">
        <v>397</v>
      </c>
      <c r="H270" s="472" t="s">
        <v>392</v>
      </c>
      <c r="I270" s="474" t="s">
        <v>22</v>
      </c>
      <c r="J270" s="474" t="s">
        <v>29</v>
      </c>
      <c r="K270" s="475" t="s">
        <v>43</v>
      </c>
      <c r="L270" s="861" t="str">
        <f t="shared" si="15"/>
        <v>salarié</v>
      </c>
      <c r="M270" s="485" t="s">
        <v>48</v>
      </c>
      <c r="N270" s="485" t="s">
        <v>0</v>
      </c>
      <c r="O270" s="484">
        <v>0.5</v>
      </c>
      <c r="P270" s="476" t="s">
        <v>58</v>
      </c>
      <c r="Q270" s="477" t="s">
        <v>34</v>
      </c>
      <c r="R270" s="478">
        <v>0</v>
      </c>
      <c r="S270" s="479">
        <v>7</v>
      </c>
      <c r="T270" s="1">
        <v>22240</v>
      </c>
      <c r="U270" s="656">
        <v>15301.473660819251</v>
      </c>
      <c r="V270" s="479">
        <v>100</v>
      </c>
      <c r="W270" s="483">
        <v>0</v>
      </c>
      <c r="X270" s="476">
        <v>0</v>
      </c>
      <c r="Y270" s="476">
        <v>1</v>
      </c>
      <c r="Z270" s="476">
        <v>0</v>
      </c>
      <c r="AA270" s="646" t="s">
        <v>999</v>
      </c>
      <c r="AB270" s="647">
        <f t="shared" si="16"/>
        <v>33</v>
      </c>
      <c r="AC270" s="647">
        <f t="shared" si="17"/>
        <v>5</v>
      </c>
      <c r="AD270" s="648" t="str">
        <f>IF(AB270="","",VLOOKUP(AB270,trancheage[],2,TRUE))</f>
        <v>30 à 39 ans</v>
      </c>
      <c r="AE270" s="648" t="str">
        <f>IFERROR(VLOOKUP(AC270,trancheanciennete[],2,TRUE),"")</f>
        <v>2 : 5-9</v>
      </c>
      <c r="AF270" s="649" t="str">
        <f>IF(T270&gt;0,VLOOKUP(T270,Trancheremuneration[],2,TRUE),"")</f>
        <v>4: 20 000-23 000</v>
      </c>
      <c r="AG270" s="650">
        <f t="shared" si="18"/>
        <v>23052.210491228878</v>
      </c>
      <c r="AH270" s="631" t="str">
        <f t="shared" si="19"/>
        <v>catégorie 1</v>
      </c>
      <c r="AI270" s="631"/>
    </row>
    <row r="271" spans="1:35" ht="14">
      <c r="A271" t="s">
        <v>835</v>
      </c>
      <c r="B271" s="645" t="s">
        <v>27</v>
      </c>
      <c r="C271" s="651">
        <v>22763</v>
      </c>
      <c r="D271" s="652">
        <v>42215</v>
      </c>
      <c r="E271" s="473" t="s">
        <v>505</v>
      </c>
      <c r="F271" s="1029" t="s">
        <v>50</v>
      </c>
      <c r="G271" s="472" t="s">
        <v>398</v>
      </c>
      <c r="H271" s="472" t="s">
        <v>392</v>
      </c>
      <c r="I271" s="474" t="s">
        <v>22</v>
      </c>
      <c r="J271" s="474" t="s">
        <v>29</v>
      </c>
      <c r="K271" s="475" t="s">
        <v>43</v>
      </c>
      <c r="L271" s="861" t="str">
        <f t="shared" ref="L271:L334" si="20">"salarié"</f>
        <v>salarié</v>
      </c>
      <c r="M271" s="485" t="s">
        <v>48</v>
      </c>
      <c r="N271" s="485" t="s">
        <v>0</v>
      </c>
      <c r="O271" s="486">
        <v>0.8</v>
      </c>
      <c r="P271" s="481" t="s">
        <v>58</v>
      </c>
      <c r="Q271" s="482" t="s">
        <v>34</v>
      </c>
      <c r="R271" s="478">
        <v>0</v>
      </c>
      <c r="S271" s="479">
        <v>14</v>
      </c>
      <c r="T271" s="1">
        <v>20320</v>
      </c>
      <c r="U271" s="656">
        <v>12191.418489269836</v>
      </c>
      <c r="V271" s="479">
        <v>250</v>
      </c>
      <c r="W271" s="483">
        <v>0</v>
      </c>
      <c r="X271" s="476">
        <v>0</v>
      </c>
      <c r="Y271" s="476">
        <v>0</v>
      </c>
      <c r="Z271" s="476">
        <v>0</v>
      </c>
      <c r="AA271" s="646" t="s">
        <v>999</v>
      </c>
      <c r="AB271" s="647">
        <f t="shared" ref="AB271:AB334" si="21">IF(ISBLANK(C271),"",DATEDIF(C271,dref,"y"))</f>
        <v>58</v>
      </c>
      <c r="AC271" s="647">
        <f t="shared" ref="AC271:AC334" si="22">IF(ISBLANK(C271),"",DATEDIF(D271,dref,"y"))</f>
        <v>5</v>
      </c>
      <c r="AD271" s="648" t="str">
        <f>IF(AB271="","",VLOOKUP(AB271,trancheage[],2,TRUE))</f>
        <v>50 ans et plus</v>
      </c>
      <c r="AE271" s="648" t="str">
        <f>IFERROR(VLOOKUP(AC271,trancheanciennete[],2,TRUE),"")</f>
        <v>2 : 5-9</v>
      </c>
      <c r="AF271" s="649" t="str">
        <f>IF(T271&gt;0,VLOOKUP(T271,Trancheremuneration[],2,TRUE),"")</f>
        <v>4: 20 000-23 000</v>
      </c>
      <c r="AG271" s="650">
        <f t="shared" ref="AG271:AG334" si="23">IF((U271*(1+(100%-O271)))+V271=0,"",(U271*(1+(100%-O271)))+V271)</f>
        <v>14879.702187123803</v>
      </c>
      <c r="AH271" s="631" t="str">
        <f t="shared" ref="AH271:AH334" si="24">IF(coefchoisi=$AS$15,F271,IF(coefchoisi=$AS$16,G271,IF(coefchoisi=$AS$17,H271,1)))</f>
        <v>catégorie 1</v>
      </c>
      <c r="AI271" s="631"/>
    </row>
    <row r="272" spans="1:35" ht="14">
      <c r="A272" t="s">
        <v>836</v>
      </c>
      <c r="B272" s="645" t="s">
        <v>47</v>
      </c>
      <c r="C272" s="651">
        <v>36091</v>
      </c>
      <c r="D272" s="652">
        <v>42217</v>
      </c>
      <c r="E272" s="473" t="s">
        <v>501</v>
      </c>
      <c r="F272" s="1029" t="s">
        <v>49</v>
      </c>
      <c r="G272" s="472" t="s">
        <v>399</v>
      </c>
      <c r="H272" s="472" t="s">
        <v>392</v>
      </c>
      <c r="I272" s="474" t="s">
        <v>23</v>
      </c>
      <c r="J272" s="474" t="s">
        <v>18</v>
      </c>
      <c r="K272" s="475" t="s">
        <v>302</v>
      </c>
      <c r="L272" s="861" t="str">
        <f t="shared" si="20"/>
        <v>salarié</v>
      </c>
      <c r="M272" s="485" t="s">
        <v>48</v>
      </c>
      <c r="N272" s="485" t="s">
        <v>1</v>
      </c>
      <c r="O272" s="486">
        <v>0.8</v>
      </c>
      <c r="P272" s="481" t="s">
        <v>59</v>
      </c>
      <c r="Q272" s="482" t="s">
        <v>31</v>
      </c>
      <c r="R272" s="478">
        <v>0</v>
      </c>
      <c r="S272" s="479">
        <v>7</v>
      </c>
      <c r="T272" s="1">
        <v>14320</v>
      </c>
      <c r="U272" s="656">
        <v>21896.184838227273</v>
      </c>
      <c r="V272" s="479">
        <v>250</v>
      </c>
      <c r="W272" s="483">
        <v>1</v>
      </c>
      <c r="X272" s="476">
        <v>1</v>
      </c>
      <c r="Y272" s="476">
        <v>1</v>
      </c>
      <c r="Z272" s="476">
        <v>0</v>
      </c>
      <c r="AA272" s="646" t="s">
        <v>999</v>
      </c>
      <c r="AB272" s="647">
        <f t="shared" si="21"/>
        <v>21</v>
      </c>
      <c r="AC272" s="647">
        <f t="shared" si="22"/>
        <v>5</v>
      </c>
      <c r="AD272" s="648" t="str">
        <f>IF(AB272="","",VLOOKUP(AB272,trancheage[],2,TRUE))</f>
        <v>Moins de 30 ans</v>
      </c>
      <c r="AE272" s="648" t="str">
        <f>IFERROR(VLOOKUP(AC272,trancheanciennete[],2,TRUE),"")</f>
        <v>2 : 5-9</v>
      </c>
      <c r="AF272" s="649" t="str">
        <f>IF(T272&gt;0,VLOOKUP(T272,Trancheremuneration[],2,TRUE),"")</f>
        <v>2:14 000-17 000</v>
      </c>
      <c r="AG272" s="650">
        <f t="shared" si="23"/>
        <v>26525.421805872727</v>
      </c>
      <c r="AH272" s="631" t="str">
        <f t="shared" si="24"/>
        <v>catégorie 1</v>
      </c>
      <c r="AI272" s="631"/>
    </row>
    <row r="273" spans="1:35" ht="14">
      <c r="A273" t="s">
        <v>837</v>
      </c>
      <c r="B273" s="645" t="s">
        <v>27</v>
      </c>
      <c r="C273" s="651">
        <v>36627</v>
      </c>
      <c r="D273" s="652">
        <v>42219</v>
      </c>
      <c r="E273" s="473" t="s">
        <v>501</v>
      </c>
      <c r="F273" s="1029" t="s">
        <v>3</v>
      </c>
      <c r="G273" s="472" t="s">
        <v>395</v>
      </c>
      <c r="H273" s="472" t="s">
        <v>392</v>
      </c>
      <c r="I273" s="474" t="s">
        <v>22</v>
      </c>
      <c r="J273" s="474" t="s">
        <v>29</v>
      </c>
      <c r="K273" s="475" t="s">
        <v>35</v>
      </c>
      <c r="L273" s="861" t="str">
        <f t="shared" si="20"/>
        <v>salarié</v>
      </c>
      <c r="M273" s="485" t="s">
        <v>48</v>
      </c>
      <c r="N273" s="485" t="s">
        <v>1</v>
      </c>
      <c r="O273" s="486">
        <v>1</v>
      </c>
      <c r="P273" s="481" t="s">
        <v>59</v>
      </c>
      <c r="Q273" s="482" t="s">
        <v>30</v>
      </c>
      <c r="R273" s="478">
        <v>0</v>
      </c>
      <c r="S273" s="479">
        <v>7</v>
      </c>
      <c r="T273" s="1">
        <v>25000</v>
      </c>
      <c r="U273" s="656">
        <v>44066.416583509075</v>
      </c>
      <c r="V273" s="479">
        <v>250</v>
      </c>
      <c r="W273" s="483">
        <v>0</v>
      </c>
      <c r="X273" s="476">
        <v>0</v>
      </c>
      <c r="Y273" s="476">
        <v>0</v>
      </c>
      <c r="Z273" s="476">
        <v>0</v>
      </c>
      <c r="AA273" s="646" t="s">
        <v>999</v>
      </c>
      <c r="AB273" s="647">
        <f t="shared" si="21"/>
        <v>20</v>
      </c>
      <c r="AC273" s="647">
        <f t="shared" si="22"/>
        <v>5</v>
      </c>
      <c r="AD273" s="648" t="str">
        <f>IF(AB273="","",VLOOKUP(AB273,trancheage[],2,TRUE))</f>
        <v>Moins de 30 ans</v>
      </c>
      <c r="AE273" s="648" t="str">
        <f>IFERROR(VLOOKUP(AC273,trancheanciennete[],2,TRUE),"")</f>
        <v>2 : 5-9</v>
      </c>
      <c r="AF273" s="649" t="str">
        <f>IF(T273&gt;0,VLOOKUP(T273,Trancheremuneration[],2,TRUE),"")</f>
        <v>5 : + de 23 000</v>
      </c>
      <c r="AG273" s="650">
        <f t="shared" si="23"/>
        <v>44316.416583509075</v>
      </c>
      <c r="AH273" s="631" t="str">
        <f t="shared" si="24"/>
        <v>catégorie 1</v>
      </c>
      <c r="AI273" s="631"/>
    </row>
    <row r="274" spans="1:35" ht="14">
      <c r="A274" t="s">
        <v>838</v>
      </c>
      <c r="B274" s="645" t="s">
        <v>47</v>
      </c>
      <c r="C274" s="651">
        <v>35092</v>
      </c>
      <c r="D274" s="652">
        <v>42275</v>
      </c>
      <c r="E274" s="473" t="s">
        <v>505</v>
      </c>
      <c r="F274" s="1029" t="s">
        <v>49</v>
      </c>
      <c r="G274" s="472" t="s">
        <v>395</v>
      </c>
      <c r="H274" s="472" t="s">
        <v>393</v>
      </c>
      <c r="I274" s="474" t="s">
        <v>22</v>
      </c>
      <c r="J274" s="474" t="s">
        <v>29</v>
      </c>
      <c r="K274" s="475" t="s">
        <v>43</v>
      </c>
      <c r="L274" s="861" t="str">
        <f t="shared" si="20"/>
        <v>salarié</v>
      </c>
      <c r="M274" s="485" t="s">
        <v>48</v>
      </c>
      <c r="N274" s="485" t="s">
        <v>0</v>
      </c>
      <c r="O274" s="486">
        <v>1</v>
      </c>
      <c r="P274" s="481" t="s">
        <v>58</v>
      </c>
      <c r="Q274" s="482" t="s">
        <v>30</v>
      </c>
      <c r="R274" s="478">
        <v>1</v>
      </c>
      <c r="S274" s="479">
        <v>7</v>
      </c>
      <c r="T274" s="1">
        <v>47920</v>
      </c>
      <c r="U274" s="656">
        <v>35335.765235019375</v>
      </c>
      <c r="V274" s="479">
        <v>100</v>
      </c>
      <c r="W274" s="483">
        <v>0</v>
      </c>
      <c r="X274" s="476">
        <v>0</v>
      </c>
      <c r="Y274" s="476">
        <v>1</v>
      </c>
      <c r="Z274" s="476">
        <v>0</v>
      </c>
      <c r="AA274" s="646" t="s">
        <v>999</v>
      </c>
      <c r="AB274" s="647">
        <f t="shared" si="21"/>
        <v>24</v>
      </c>
      <c r="AC274" s="647">
        <f t="shared" si="22"/>
        <v>4</v>
      </c>
      <c r="AD274" s="648" t="str">
        <f>IF(AB274="","",VLOOKUP(AB274,trancheage[],2,TRUE))</f>
        <v>Moins de 30 ans</v>
      </c>
      <c r="AE274" s="648" t="str">
        <f>IFERROR(VLOOKUP(AC274,trancheanciennete[],2,TRUE),"")</f>
        <v>2 : 5-9</v>
      </c>
      <c r="AF274" s="649" t="str">
        <f>IF(T274&gt;0,VLOOKUP(T274,Trancheremuneration[],2,TRUE),"")</f>
        <v>5 : + de 23 000</v>
      </c>
      <c r="AG274" s="650">
        <f t="shared" si="23"/>
        <v>35435.765235019375</v>
      </c>
      <c r="AH274" s="631" t="str">
        <f t="shared" si="24"/>
        <v>catégorie 2</v>
      </c>
      <c r="AI274" s="631"/>
    </row>
    <row r="275" spans="1:35" ht="14">
      <c r="A275" t="s">
        <v>839</v>
      </c>
      <c r="B275" s="645" t="s">
        <v>47</v>
      </c>
      <c r="C275" s="651">
        <v>34495</v>
      </c>
      <c r="D275" s="652">
        <v>42278</v>
      </c>
      <c r="E275" s="473" t="s">
        <v>501</v>
      </c>
      <c r="F275" s="1029" t="s">
        <v>49</v>
      </c>
      <c r="G275" s="472" t="s">
        <v>395</v>
      </c>
      <c r="H275" s="472" t="s">
        <v>392</v>
      </c>
      <c r="I275" s="474" t="s">
        <v>22</v>
      </c>
      <c r="J275" s="474" t="s">
        <v>29</v>
      </c>
      <c r="K275" s="475" t="s">
        <v>43</v>
      </c>
      <c r="L275" s="861" t="str">
        <f t="shared" si="20"/>
        <v>salarié</v>
      </c>
      <c r="M275" s="485" t="s">
        <v>42</v>
      </c>
      <c r="N275" s="485" t="s">
        <v>0</v>
      </c>
      <c r="O275" s="486">
        <v>1</v>
      </c>
      <c r="P275" s="481" t="s">
        <v>59</v>
      </c>
      <c r="Q275" s="482" t="s">
        <v>33</v>
      </c>
      <c r="R275" s="478">
        <v>1</v>
      </c>
      <c r="S275" s="479">
        <v>7</v>
      </c>
      <c r="T275" s="1">
        <v>35080</v>
      </c>
      <c r="U275" s="656">
        <v>35866.948722056019</v>
      </c>
      <c r="V275" s="479">
        <v>250</v>
      </c>
      <c r="W275" s="483">
        <v>1</v>
      </c>
      <c r="X275" s="476">
        <v>0</v>
      </c>
      <c r="Y275" s="476">
        <v>1</v>
      </c>
      <c r="Z275" s="476">
        <v>0</v>
      </c>
      <c r="AA275" s="646" t="s">
        <v>999</v>
      </c>
      <c r="AB275" s="647">
        <f t="shared" si="21"/>
        <v>26</v>
      </c>
      <c r="AC275" s="647">
        <f t="shared" si="22"/>
        <v>4</v>
      </c>
      <c r="AD275" s="648" t="str">
        <f>IF(AB275="","",VLOOKUP(AB275,trancheage[],2,TRUE))</f>
        <v>Moins de 30 ans</v>
      </c>
      <c r="AE275" s="648" t="str">
        <f>IFERROR(VLOOKUP(AC275,trancheanciennete[],2,TRUE),"")</f>
        <v>2 : 5-9</v>
      </c>
      <c r="AF275" s="649" t="str">
        <f>IF(T275&gt;0,VLOOKUP(T275,Trancheremuneration[],2,TRUE),"")</f>
        <v>5 : + de 23 000</v>
      </c>
      <c r="AG275" s="650">
        <f t="shared" si="23"/>
        <v>36116.948722056019</v>
      </c>
      <c r="AH275" s="631" t="str">
        <f t="shared" si="24"/>
        <v>catégorie 1</v>
      </c>
      <c r="AI275" s="631"/>
    </row>
    <row r="276" spans="1:35" ht="14">
      <c r="A276" t="s">
        <v>840</v>
      </c>
      <c r="B276" s="645" t="s">
        <v>27</v>
      </c>
      <c r="C276" s="651">
        <v>25554</v>
      </c>
      <c r="D276" s="652">
        <v>42304</v>
      </c>
      <c r="E276" s="473" t="s">
        <v>501</v>
      </c>
      <c r="F276" s="1029" t="s">
        <v>3</v>
      </c>
      <c r="G276" s="472" t="s">
        <v>396</v>
      </c>
      <c r="H276" s="472" t="s">
        <v>392</v>
      </c>
      <c r="I276" s="474" t="s">
        <v>23</v>
      </c>
      <c r="J276" s="474" t="s">
        <v>18</v>
      </c>
      <c r="K276" s="475" t="s">
        <v>36</v>
      </c>
      <c r="L276" s="861" t="str">
        <f t="shared" si="20"/>
        <v>salarié</v>
      </c>
      <c r="M276" s="485" t="s">
        <v>48</v>
      </c>
      <c r="N276" s="485" t="s">
        <v>0</v>
      </c>
      <c r="O276" s="486">
        <v>1</v>
      </c>
      <c r="P276" s="481" t="s">
        <v>58</v>
      </c>
      <c r="Q276" s="482" t="s">
        <v>34</v>
      </c>
      <c r="R276" s="478">
        <v>1</v>
      </c>
      <c r="S276" s="479">
        <v>28</v>
      </c>
      <c r="T276" s="1">
        <v>32920</v>
      </c>
      <c r="U276" s="656">
        <v>18078.426723453955</v>
      </c>
      <c r="V276" s="479">
        <v>250</v>
      </c>
      <c r="W276" s="483">
        <v>1</v>
      </c>
      <c r="X276" s="476">
        <v>0</v>
      </c>
      <c r="Y276" s="476">
        <v>1</v>
      </c>
      <c r="Z276" s="476">
        <v>0</v>
      </c>
      <c r="AA276" s="646" t="s">
        <v>999</v>
      </c>
      <c r="AB276" s="647">
        <f t="shared" si="21"/>
        <v>50</v>
      </c>
      <c r="AC276" s="647">
        <f t="shared" si="22"/>
        <v>4</v>
      </c>
      <c r="AD276" s="648" t="str">
        <f>IF(AB276="","",VLOOKUP(AB276,trancheage[],2,TRUE))</f>
        <v>50 ans et plus</v>
      </c>
      <c r="AE276" s="648" t="str">
        <f>IFERROR(VLOOKUP(AC276,trancheanciennete[],2,TRUE),"")</f>
        <v>2 : 5-9</v>
      </c>
      <c r="AF276" s="649" t="str">
        <f>IF(T276&gt;0,VLOOKUP(T276,Trancheremuneration[],2,TRUE),"")</f>
        <v>5 : + de 23 000</v>
      </c>
      <c r="AG276" s="650">
        <f t="shared" si="23"/>
        <v>18328.426723453955</v>
      </c>
      <c r="AH276" s="631" t="str">
        <f t="shared" si="24"/>
        <v>catégorie 1</v>
      </c>
      <c r="AI276" s="631"/>
    </row>
    <row r="277" spans="1:35" ht="14">
      <c r="A277" t="s">
        <v>599</v>
      </c>
      <c r="B277" s="645" t="s">
        <v>47</v>
      </c>
      <c r="C277" s="651">
        <v>35049</v>
      </c>
      <c r="D277" s="652">
        <v>42339</v>
      </c>
      <c r="E277" s="473" t="s">
        <v>505</v>
      </c>
      <c r="F277" s="1029" t="s">
        <v>49</v>
      </c>
      <c r="G277" s="472" t="s">
        <v>397</v>
      </c>
      <c r="H277" s="472" t="s">
        <v>392</v>
      </c>
      <c r="I277" s="474" t="s">
        <v>22</v>
      </c>
      <c r="J277" s="474" t="s">
        <v>29</v>
      </c>
      <c r="K277" s="475" t="s">
        <v>43</v>
      </c>
      <c r="L277" s="861" t="str">
        <f t="shared" si="20"/>
        <v>salarié</v>
      </c>
      <c r="M277" s="485" t="s">
        <v>40</v>
      </c>
      <c r="N277" s="485" t="s">
        <v>0</v>
      </c>
      <c r="O277" s="486">
        <v>1</v>
      </c>
      <c r="P277" s="481" t="s">
        <v>58</v>
      </c>
      <c r="Q277" s="482" t="s">
        <v>33</v>
      </c>
      <c r="R277" s="478">
        <v>1</v>
      </c>
      <c r="S277" s="479">
        <v>14</v>
      </c>
      <c r="T277" s="1">
        <v>14320</v>
      </c>
      <c r="U277" s="656">
        <v>46671.203665014938</v>
      </c>
      <c r="V277" s="479">
        <v>250</v>
      </c>
      <c r="W277" s="483">
        <v>1</v>
      </c>
      <c r="X277" s="476">
        <v>0</v>
      </c>
      <c r="Y277" s="476">
        <v>0</v>
      </c>
      <c r="Z277" s="476">
        <v>0</v>
      </c>
      <c r="AA277" s="646" t="s">
        <v>1000</v>
      </c>
      <c r="AB277" s="647">
        <f t="shared" si="21"/>
        <v>24</v>
      </c>
      <c r="AC277" s="647">
        <f t="shared" si="22"/>
        <v>4</v>
      </c>
      <c r="AD277" s="648" t="str">
        <f>IF(AB277="","",VLOOKUP(AB277,trancheage[],2,TRUE))</f>
        <v>Moins de 30 ans</v>
      </c>
      <c r="AE277" s="648" t="str">
        <f>IFERROR(VLOOKUP(AC277,trancheanciennete[],2,TRUE),"")</f>
        <v>2 : 5-9</v>
      </c>
      <c r="AF277" s="649" t="str">
        <f>IF(T277&gt;0,VLOOKUP(T277,Trancheremuneration[],2,TRUE),"")</f>
        <v>2:14 000-17 000</v>
      </c>
      <c r="AG277" s="650">
        <f t="shared" si="23"/>
        <v>46921.203665014938</v>
      </c>
      <c r="AH277" s="631" t="str">
        <f t="shared" si="24"/>
        <v>catégorie 1</v>
      </c>
      <c r="AI277" s="631"/>
    </row>
    <row r="278" spans="1:35" ht="14">
      <c r="A278" t="s">
        <v>841</v>
      </c>
      <c r="B278" s="645" t="s">
        <v>47</v>
      </c>
      <c r="C278" s="651">
        <v>33007</v>
      </c>
      <c r="D278" s="652">
        <v>42342</v>
      </c>
      <c r="E278" s="473" t="s">
        <v>505</v>
      </c>
      <c r="F278" s="1029" t="s">
        <v>49</v>
      </c>
      <c r="G278" s="472" t="s">
        <v>398</v>
      </c>
      <c r="H278" s="472" t="s">
        <v>392</v>
      </c>
      <c r="I278" s="474" t="s">
        <v>22</v>
      </c>
      <c r="J278" s="474" t="s">
        <v>28</v>
      </c>
      <c r="K278" s="475" t="s">
        <v>43</v>
      </c>
      <c r="L278" s="861" t="str">
        <f t="shared" si="20"/>
        <v>salarié</v>
      </c>
      <c r="M278" s="483" t="s">
        <v>48</v>
      </c>
      <c r="N278" s="483" t="s">
        <v>0</v>
      </c>
      <c r="O278" s="486">
        <v>1</v>
      </c>
      <c r="P278" s="481" t="s">
        <v>58</v>
      </c>
      <c r="Q278" s="482" t="s">
        <v>31</v>
      </c>
      <c r="R278" s="478">
        <v>0</v>
      </c>
      <c r="S278" s="479">
        <v>7</v>
      </c>
      <c r="T278" s="1">
        <v>46600</v>
      </c>
      <c r="U278" s="656">
        <v>61257.913039472201</v>
      </c>
      <c r="V278" s="479">
        <v>500</v>
      </c>
      <c r="W278" s="483">
        <v>0</v>
      </c>
      <c r="X278" s="476">
        <v>1</v>
      </c>
      <c r="Y278" s="476">
        <v>0</v>
      </c>
      <c r="Z278" s="476">
        <v>0</v>
      </c>
      <c r="AA278" s="646" t="s">
        <v>1000</v>
      </c>
      <c r="AB278" s="647">
        <f t="shared" si="21"/>
        <v>30</v>
      </c>
      <c r="AC278" s="647">
        <f t="shared" si="22"/>
        <v>4</v>
      </c>
      <c r="AD278" s="648" t="str">
        <f>IF(AB278="","",VLOOKUP(AB278,trancheage[],2,TRUE))</f>
        <v>30 à 39 ans</v>
      </c>
      <c r="AE278" s="648" t="str">
        <f>IFERROR(VLOOKUP(AC278,trancheanciennete[],2,TRUE),"")</f>
        <v>2 : 5-9</v>
      </c>
      <c r="AF278" s="649" t="str">
        <f>IF(T278&gt;0,VLOOKUP(T278,Trancheremuneration[],2,TRUE),"")</f>
        <v>5 : + de 23 000</v>
      </c>
      <c r="AG278" s="650">
        <f t="shared" si="23"/>
        <v>61757.913039472201</v>
      </c>
      <c r="AH278" s="631" t="str">
        <f t="shared" si="24"/>
        <v>catégorie 1</v>
      </c>
      <c r="AI278" s="631"/>
    </row>
    <row r="279" spans="1:35" ht="14">
      <c r="A279" t="s">
        <v>842</v>
      </c>
      <c r="B279" s="645" t="s">
        <v>27</v>
      </c>
      <c r="C279" s="651">
        <v>36058</v>
      </c>
      <c r="D279" s="652">
        <v>42365</v>
      </c>
      <c r="E279" s="473" t="s">
        <v>501</v>
      </c>
      <c r="F279" s="1029" t="s">
        <v>3</v>
      </c>
      <c r="G279" s="472" t="s">
        <v>399</v>
      </c>
      <c r="H279" s="472" t="s">
        <v>393</v>
      </c>
      <c r="I279" s="474" t="s">
        <v>22</v>
      </c>
      <c r="J279" s="474" t="s">
        <v>28</v>
      </c>
      <c r="K279" s="475" t="s">
        <v>43</v>
      </c>
      <c r="L279" s="861" t="str">
        <f t="shared" si="20"/>
        <v>salarié</v>
      </c>
      <c r="M279" s="483" t="s">
        <v>48</v>
      </c>
      <c r="N279" s="483" t="s">
        <v>0</v>
      </c>
      <c r="O279" s="486">
        <v>1</v>
      </c>
      <c r="P279" s="481" t="s">
        <v>58</v>
      </c>
      <c r="Q279" s="482" t="s">
        <v>31</v>
      </c>
      <c r="R279" s="478">
        <v>1</v>
      </c>
      <c r="S279" s="479">
        <v>0</v>
      </c>
      <c r="T279" s="1">
        <v>53800</v>
      </c>
      <c r="U279" s="656">
        <v>14966.646053739798</v>
      </c>
      <c r="V279" s="479">
        <v>250</v>
      </c>
      <c r="W279" s="483">
        <v>1</v>
      </c>
      <c r="X279" s="476">
        <v>1</v>
      </c>
      <c r="Y279" s="476">
        <v>0</v>
      </c>
      <c r="Z279" s="476">
        <v>0</v>
      </c>
      <c r="AA279" s="646" t="s">
        <v>1000</v>
      </c>
      <c r="AB279" s="647">
        <f t="shared" si="21"/>
        <v>21</v>
      </c>
      <c r="AC279" s="647">
        <f t="shared" si="22"/>
        <v>4</v>
      </c>
      <c r="AD279" s="648" t="str">
        <f>IF(AB279="","",VLOOKUP(AB279,trancheage[],2,TRUE))</f>
        <v>Moins de 30 ans</v>
      </c>
      <c r="AE279" s="648" t="str">
        <f>IFERROR(VLOOKUP(AC279,trancheanciennete[],2,TRUE),"")</f>
        <v>2 : 5-9</v>
      </c>
      <c r="AF279" s="649" t="str">
        <f>IF(T279&gt;0,VLOOKUP(T279,Trancheremuneration[],2,TRUE),"")</f>
        <v>5 : + de 23 000</v>
      </c>
      <c r="AG279" s="650">
        <f t="shared" si="23"/>
        <v>15216.646053739798</v>
      </c>
      <c r="AH279" s="631" t="str">
        <f t="shared" si="24"/>
        <v>catégorie 2</v>
      </c>
      <c r="AI279" s="631"/>
    </row>
    <row r="280" spans="1:35" ht="14">
      <c r="A280" t="s">
        <v>843</v>
      </c>
      <c r="B280" s="645" t="s">
        <v>27</v>
      </c>
      <c r="C280" s="651">
        <v>36705</v>
      </c>
      <c r="D280" s="652">
        <v>42368</v>
      </c>
      <c r="E280" s="473" t="s">
        <v>501</v>
      </c>
      <c r="F280" s="1029" t="s">
        <v>3</v>
      </c>
      <c r="G280" s="472" t="s">
        <v>395</v>
      </c>
      <c r="H280" s="472" t="s">
        <v>394</v>
      </c>
      <c r="I280" s="474" t="s">
        <v>23</v>
      </c>
      <c r="J280" s="474" t="s">
        <v>18</v>
      </c>
      <c r="K280" s="475" t="s">
        <v>305</v>
      </c>
      <c r="L280" s="861" t="str">
        <f t="shared" si="20"/>
        <v>salarié</v>
      </c>
      <c r="M280" s="485" t="s">
        <v>48</v>
      </c>
      <c r="N280" s="485" t="s">
        <v>0</v>
      </c>
      <c r="O280" s="486">
        <v>1</v>
      </c>
      <c r="P280" s="481" t="s">
        <v>58</v>
      </c>
      <c r="Q280" s="482" t="s">
        <v>39</v>
      </c>
      <c r="R280" s="478">
        <v>1</v>
      </c>
      <c r="S280" s="479">
        <v>0</v>
      </c>
      <c r="T280" s="1">
        <v>12400</v>
      </c>
      <c r="U280" s="656">
        <v>60375.927003436787</v>
      </c>
      <c r="V280" s="479">
        <v>250</v>
      </c>
      <c r="W280" s="483">
        <v>1</v>
      </c>
      <c r="X280" s="476">
        <v>0</v>
      </c>
      <c r="Y280" s="476">
        <v>0</v>
      </c>
      <c r="Z280" s="476">
        <v>0</v>
      </c>
      <c r="AA280" s="646" t="s">
        <v>1000</v>
      </c>
      <c r="AB280" s="647">
        <f t="shared" si="21"/>
        <v>20</v>
      </c>
      <c r="AC280" s="647">
        <f t="shared" si="22"/>
        <v>4</v>
      </c>
      <c r="AD280" s="648" t="str">
        <f>IF(AB280="","",VLOOKUP(AB280,trancheage[],2,TRUE))</f>
        <v>Moins de 30 ans</v>
      </c>
      <c r="AE280" s="648" t="str">
        <f>IFERROR(VLOOKUP(AC280,trancheanciennete[],2,TRUE),"")</f>
        <v>2 : 5-9</v>
      </c>
      <c r="AF280" s="649" t="str">
        <f>IF(T280&gt;0,VLOOKUP(T280,Trancheremuneration[],2,TRUE),"")</f>
        <v>1:7 000-14 000</v>
      </c>
      <c r="AG280" s="650">
        <f t="shared" si="23"/>
        <v>60625.927003436787</v>
      </c>
      <c r="AH280" s="631" t="str">
        <f t="shared" si="24"/>
        <v>catégorie 3</v>
      </c>
      <c r="AI280" s="631"/>
    </row>
    <row r="281" spans="1:35" ht="14">
      <c r="A281" t="s">
        <v>575</v>
      </c>
      <c r="B281" s="645" t="s">
        <v>27</v>
      </c>
      <c r="C281" s="651">
        <v>32120</v>
      </c>
      <c r="D281" s="652">
        <v>42386</v>
      </c>
      <c r="E281" s="473" t="s">
        <v>504</v>
      </c>
      <c r="F281" s="1029" t="s">
        <v>3</v>
      </c>
      <c r="G281" s="472" t="s">
        <v>395</v>
      </c>
      <c r="H281" s="472" t="s">
        <v>393</v>
      </c>
      <c r="I281" s="474" t="s">
        <v>23</v>
      </c>
      <c r="J281" s="474" t="s">
        <v>18</v>
      </c>
      <c r="K281" s="475" t="s">
        <v>303</v>
      </c>
      <c r="L281" s="861" t="str">
        <f t="shared" si="20"/>
        <v>salarié</v>
      </c>
      <c r="M281" s="485" t="s">
        <v>42</v>
      </c>
      <c r="N281" s="485" t="s">
        <v>0</v>
      </c>
      <c r="O281" s="486">
        <v>0.8</v>
      </c>
      <c r="P281" s="481" t="s">
        <v>59</v>
      </c>
      <c r="Q281" s="482" t="s">
        <v>30</v>
      </c>
      <c r="R281" s="478">
        <v>0</v>
      </c>
      <c r="S281" s="479">
        <v>0</v>
      </c>
      <c r="T281" s="1">
        <v>63400</v>
      </c>
      <c r="U281" s="656">
        <v>31074.922590084563</v>
      </c>
      <c r="V281" s="479">
        <v>250</v>
      </c>
      <c r="W281" s="483">
        <v>0</v>
      </c>
      <c r="X281" s="476">
        <v>0</v>
      </c>
      <c r="Y281" s="476">
        <v>0</v>
      </c>
      <c r="Z281" s="476">
        <v>0</v>
      </c>
      <c r="AA281" s="646" t="s">
        <v>1000</v>
      </c>
      <c r="AB281" s="647">
        <f t="shared" si="21"/>
        <v>32</v>
      </c>
      <c r="AC281" s="647">
        <f t="shared" si="22"/>
        <v>4</v>
      </c>
      <c r="AD281" s="648" t="str">
        <f>IF(AB281="","",VLOOKUP(AB281,trancheage[],2,TRUE))</f>
        <v>30 à 39 ans</v>
      </c>
      <c r="AE281" s="648" t="str">
        <f>IFERROR(VLOOKUP(AC281,trancheanciennete[],2,TRUE),"")</f>
        <v>2 : 5-9</v>
      </c>
      <c r="AF281" s="649" t="str">
        <f>IF(T281&gt;0,VLOOKUP(T281,Trancheremuneration[],2,TRUE),"")</f>
        <v>5 : + de 23 000</v>
      </c>
      <c r="AG281" s="650">
        <f t="shared" si="23"/>
        <v>37539.907108101477</v>
      </c>
      <c r="AH281" s="631" t="str">
        <f t="shared" si="24"/>
        <v>catégorie 2</v>
      </c>
      <c r="AI281" s="631"/>
    </row>
    <row r="282" spans="1:35" ht="14">
      <c r="A282" t="s">
        <v>844</v>
      </c>
      <c r="B282" s="645" t="s">
        <v>27</v>
      </c>
      <c r="C282" s="651">
        <v>36793</v>
      </c>
      <c r="D282" s="652">
        <v>42394</v>
      </c>
      <c r="E282" s="473" t="s">
        <v>501</v>
      </c>
      <c r="F282" s="1029" t="s">
        <v>50</v>
      </c>
      <c r="G282" s="472" t="s">
        <v>396</v>
      </c>
      <c r="H282" s="472" t="s">
        <v>394</v>
      </c>
      <c r="I282" s="474" t="s">
        <v>22</v>
      </c>
      <c r="J282" s="474" t="s">
        <v>28</v>
      </c>
      <c r="K282" s="475" t="s">
        <v>43</v>
      </c>
      <c r="L282" s="861" t="str">
        <f t="shared" si="20"/>
        <v>salarié</v>
      </c>
      <c r="M282" s="485" t="s">
        <v>48</v>
      </c>
      <c r="N282" s="485" t="s">
        <v>1</v>
      </c>
      <c r="O282" s="486">
        <v>0.8</v>
      </c>
      <c r="P282" s="481" t="s">
        <v>59</v>
      </c>
      <c r="Q282" s="482" t="s">
        <v>30</v>
      </c>
      <c r="R282" s="478">
        <v>0</v>
      </c>
      <c r="S282" s="479">
        <v>0</v>
      </c>
      <c r="T282" s="1">
        <v>37240</v>
      </c>
      <c r="U282" s="656">
        <v>30421.485326617185</v>
      </c>
      <c r="V282" s="479">
        <v>500</v>
      </c>
      <c r="W282" s="483">
        <v>0</v>
      </c>
      <c r="X282" s="476">
        <v>1</v>
      </c>
      <c r="Y282" s="476">
        <v>0</v>
      </c>
      <c r="Z282" s="476">
        <v>0</v>
      </c>
      <c r="AA282" s="646" t="s">
        <v>1000</v>
      </c>
      <c r="AB282" s="647">
        <f t="shared" si="21"/>
        <v>19</v>
      </c>
      <c r="AC282" s="647">
        <f t="shared" si="22"/>
        <v>4</v>
      </c>
      <c r="AD282" s="648" t="str">
        <f>IF(AB282="","",VLOOKUP(AB282,trancheage[],2,TRUE))</f>
        <v>Moins de 30 ans</v>
      </c>
      <c r="AE282" s="648" t="str">
        <f>IFERROR(VLOOKUP(AC282,trancheanciennete[],2,TRUE),"")</f>
        <v>2 : 5-9</v>
      </c>
      <c r="AF282" s="649" t="str">
        <f>IF(T282&gt;0,VLOOKUP(T282,Trancheremuneration[],2,TRUE),"")</f>
        <v>5 : + de 23 000</v>
      </c>
      <c r="AG282" s="650">
        <f t="shared" si="23"/>
        <v>37005.782391940622</v>
      </c>
      <c r="AH282" s="631" t="str">
        <f t="shared" si="24"/>
        <v>catégorie 3</v>
      </c>
      <c r="AI282" s="631"/>
    </row>
    <row r="283" spans="1:35" ht="14">
      <c r="A283" t="s">
        <v>845</v>
      </c>
      <c r="B283" s="645" t="s">
        <v>47</v>
      </c>
      <c r="C283" s="651">
        <v>36468</v>
      </c>
      <c r="D283" s="652">
        <v>42400</v>
      </c>
      <c r="E283" s="473" t="s">
        <v>501</v>
      </c>
      <c r="F283" s="1029" t="s">
        <v>49</v>
      </c>
      <c r="G283" s="472" t="s">
        <v>395</v>
      </c>
      <c r="H283" s="472" t="s">
        <v>392</v>
      </c>
      <c r="I283" s="474" t="s">
        <v>22</v>
      </c>
      <c r="J283" s="474" t="s">
        <v>28</v>
      </c>
      <c r="K283" s="475" t="s">
        <v>43</v>
      </c>
      <c r="L283" s="861" t="str">
        <f t="shared" si="20"/>
        <v>salarié</v>
      </c>
      <c r="M283" s="485" t="s">
        <v>42</v>
      </c>
      <c r="N283" s="485" t="s">
        <v>1</v>
      </c>
      <c r="O283" s="486">
        <v>1</v>
      </c>
      <c r="P283" s="481" t="s">
        <v>59</v>
      </c>
      <c r="Q283" s="482" t="s">
        <v>33</v>
      </c>
      <c r="R283" s="478">
        <v>1</v>
      </c>
      <c r="S283" s="479">
        <v>14</v>
      </c>
      <c r="T283" s="1">
        <v>31840</v>
      </c>
      <c r="U283" s="656">
        <v>12623.752744412501</v>
      </c>
      <c r="V283" s="479">
        <v>250</v>
      </c>
      <c r="W283" s="483">
        <v>1</v>
      </c>
      <c r="X283" s="476">
        <v>0</v>
      </c>
      <c r="Y283" s="476">
        <v>1</v>
      </c>
      <c r="Z283" s="476">
        <v>0</v>
      </c>
      <c r="AA283" s="646" t="s">
        <v>1000</v>
      </c>
      <c r="AB283" s="647">
        <f t="shared" si="21"/>
        <v>20</v>
      </c>
      <c r="AC283" s="647">
        <f t="shared" si="22"/>
        <v>4</v>
      </c>
      <c r="AD283" s="648" t="str">
        <f>IF(AB283="","",VLOOKUP(AB283,trancheage[],2,TRUE))</f>
        <v>Moins de 30 ans</v>
      </c>
      <c r="AE283" s="648" t="str">
        <f>IFERROR(VLOOKUP(AC283,trancheanciennete[],2,TRUE),"")</f>
        <v>2 : 5-9</v>
      </c>
      <c r="AF283" s="649" t="str">
        <f>IF(T283&gt;0,VLOOKUP(T283,Trancheremuneration[],2,TRUE),"")</f>
        <v>5 : + de 23 000</v>
      </c>
      <c r="AG283" s="650">
        <f t="shared" si="23"/>
        <v>12873.752744412501</v>
      </c>
      <c r="AH283" s="631" t="str">
        <f t="shared" si="24"/>
        <v>catégorie 1</v>
      </c>
      <c r="AI283" s="631"/>
    </row>
    <row r="284" spans="1:35" ht="14">
      <c r="A284" t="s">
        <v>846</v>
      </c>
      <c r="B284" s="645" t="s">
        <v>47</v>
      </c>
      <c r="C284" s="651">
        <v>33285</v>
      </c>
      <c r="D284" s="652">
        <v>42435</v>
      </c>
      <c r="E284" s="473" t="s">
        <v>501</v>
      </c>
      <c r="F284" s="1029" t="s">
        <v>49</v>
      </c>
      <c r="G284" s="472" t="s">
        <v>397</v>
      </c>
      <c r="H284" s="472" t="s">
        <v>392</v>
      </c>
      <c r="I284" s="474" t="s">
        <v>22</v>
      </c>
      <c r="J284" s="474" t="s">
        <v>28</v>
      </c>
      <c r="K284" s="475" t="s">
        <v>43</v>
      </c>
      <c r="L284" s="861" t="str">
        <f t="shared" si="20"/>
        <v>salarié</v>
      </c>
      <c r="M284" s="485" t="s">
        <v>48</v>
      </c>
      <c r="N284" s="485" t="s">
        <v>1</v>
      </c>
      <c r="O284" s="486">
        <v>1</v>
      </c>
      <c r="P284" s="481" t="s">
        <v>59</v>
      </c>
      <c r="Q284" s="482" t="s">
        <v>33</v>
      </c>
      <c r="R284" s="478">
        <v>1</v>
      </c>
      <c r="S284" s="479">
        <v>14</v>
      </c>
      <c r="T284" s="1">
        <v>10720</v>
      </c>
      <c r="U284" s="656">
        <v>31945.148853956838</v>
      </c>
      <c r="V284" s="479">
        <v>250</v>
      </c>
      <c r="W284" s="483">
        <v>1</v>
      </c>
      <c r="X284" s="476">
        <v>0</v>
      </c>
      <c r="Y284" s="476">
        <v>0</v>
      </c>
      <c r="Z284" s="476">
        <v>0</v>
      </c>
      <c r="AA284" s="646" t="s">
        <v>1000</v>
      </c>
      <c r="AB284" s="647">
        <f t="shared" si="21"/>
        <v>29</v>
      </c>
      <c r="AC284" s="647">
        <f t="shared" si="22"/>
        <v>4</v>
      </c>
      <c r="AD284" s="648" t="str">
        <f>IF(AB284="","",VLOOKUP(AB284,trancheage[],2,TRUE))</f>
        <v>Moins de 30 ans</v>
      </c>
      <c r="AE284" s="648" t="str">
        <f>IFERROR(VLOOKUP(AC284,trancheanciennete[],2,TRUE),"")</f>
        <v>2 : 5-9</v>
      </c>
      <c r="AF284" s="649" t="str">
        <f>IF(T284&gt;0,VLOOKUP(T284,Trancheremuneration[],2,TRUE),"")</f>
        <v>1:7 000-14 000</v>
      </c>
      <c r="AG284" s="650">
        <f t="shared" si="23"/>
        <v>32195.148853956838</v>
      </c>
      <c r="AH284" s="631" t="str">
        <f t="shared" si="24"/>
        <v>catégorie 1</v>
      </c>
      <c r="AI284" s="631"/>
    </row>
    <row r="285" spans="1:35" ht="14">
      <c r="A285" t="s">
        <v>847</v>
      </c>
      <c r="B285" s="645" t="s">
        <v>27</v>
      </c>
      <c r="C285" s="651">
        <v>36095</v>
      </c>
      <c r="D285" s="652">
        <v>42436</v>
      </c>
      <c r="E285" s="473" t="s">
        <v>504</v>
      </c>
      <c r="F285" s="1029" t="s">
        <v>3</v>
      </c>
      <c r="G285" s="472" t="s">
        <v>398</v>
      </c>
      <c r="H285" s="472" t="s">
        <v>394</v>
      </c>
      <c r="I285" s="474" t="s">
        <v>22</v>
      </c>
      <c r="J285" s="474" t="s">
        <v>28</v>
      </c>
      <c r="K285" s="475" t="s">
        <v>56</v>
      </c>
      <c r="L285" s="861" t="str">
        <f t="shared" si="20"/>
        <v>salarié</v>
      </c>
      <c r="M285" s="485" t="s">
        <v>48</v>
      </c>
      <c r="N285" s="485" t="s">
        <v>1</v>
      </c>
      <c r="O285" s="486">
        <v>0.5</v>
      </c>
      <c r="P285" s="481" t="s">
        <v>59</v>
      </c>
      <c r="Q285" s="482" t="s">
        <v>31</v>
      </c>
      <c r="R285" s="478">
        <v>0</v>
      </c>
      <c r="S285" s="479">
        <v>0</v>
      </c>
      <c r="T285" s="1">
        <v>26800</v>
      </c>
      <c r="U285" s="656">
        <v>16119.789856479762</v>
      </c>
      <c r="V285" s="479">
        <v>250</v>
      </c>
      <c r="W285" s="483">
        <v>0</v>
      </c>
      <c r="X285" s="476">
        <v>1</v>
      </c>
      <c r="Y285" s="476">
        <v>0</v>
      </c>
      <c r="Z285" s="476">
        <v>0</v>
      </c>
      <c r="AA285" s="646" t="s">
        <v>1000</v>
      </c>
      <c r="AB285" s="647">
        <f t="shared" si="21"/>
        <v>21</v>
      </c>
      <c r="AC285" s="647">
        <f t="shared" si="22"/>
        <v>4</v>
      </c>
      <c r="AD285" s="648" t="str">
        <f>IF(AB285="","",VLOOKUP(AB285,trancheage[],2,TRUE))</f>
        <v>Moins de 30 ans</v>
      </c>
      <c r="AE285" s="648" t="str">
        <f>IFERROR(VLOOKUP(AC285,trancheanciennete[],2,TRUE),"")</f>
        <v>2 : 5-9</v>
      </c>
      <c r="AF285" s="649" t="str">
        <f>IF(T285&gt;0,VLOOKUP(T285,Trancheremuneration[],2,TRUE),"")</f>
        <v>5 : + de 23 000</v>
      </c>
      <c r="AG285" s="650">
        <f t="shared" si="23"/>
        <v>24429.68478471964</v>
      </c>
      <c r="AH285" s="631" t="str">
        <f t="shared" si="24"/>
        <v>catégorie 3</v>
      </c>
      <c r="AI285" s="631"/>
    </row>
    <row r="286" spans="1:35" ht="14">
      <c r="A286" t="s">
        <v>848</v>
      </c>
      <c r="B286" s="645" t="s">
        <v>27</v>
      </c>
      <c r="C286" s="651">
        <v>34549</v>
      </c>
      <c r="D286" s="652">
        <v>42443</v>
      </c>
      <c r="E286" s="473" t="s">
        <v>503</v>
      </c>
      <c r="F286" s="1029" t="s">
        <v>3</v>
      </c>
      <c r="G286" s="472" t="s">
        <v>399</v>
      </c>
      <c r="H286" s="472" t="s">
        <v>394</v>
      </c>
      <c r="I286" s="474" t="s">
        <v>22</v>
      </c>
      <c r="J286" s="474" t="s">
        <v>28</v>
      </c>
      <c r="K286" s="475" t="s">
        <v>35</v>
      </c>
      <c r="L286" s="861" t="str">
        <f t="shared" si="20"/>
        <v>salarié</v>
      </c>
      <c r="M286" s="485" t="s">
        <v>48</v>
      </c>
      <c r="N286" s="485" t="s">
        <v>1</v>
      </c>
      <c r="O286" s="486">
        <v>0.8</v>
      </c>
      <c r="P286" s="481" t="s">
        <v>59</v>
      </c>
      <c r="Q286" s="482" t="s">
        <v>31</v>
      </c>
      <c r="R286" s="478">
        <v>0</v>
      </c>
      <c r="S286" s="479">
        <v>0</v>
      </c>
      <c r="T286" s="1">
        <v>16000</v>
      </c>
      <c r="U286" s="656">
        <v>46799.381113835698</v>
      </c>
      <c r="V286" s="479">
        <v>250</v>
      </c>
      <c r="W286" s="483">
        <v>0</v>
      </c>
      <c r="X286" s="476">
        <v>1</v>
      </c>
      <c r="Y286" s="476">
        <v>0</v>
      </c>
      <c r="Z286" s="476">
        <v>0</v>
      </c>
      <c r="AA286" s="646" t="s">
        <v>1000</v>
      </c>
      <c r="AB286" s="647">
        <f t="shared" si="21"/>
        <v>26</v>
      </c>
      <c r="AC286" s="647">
        <f t="shared" si="22"/>
        <v>4</v>
      </c>
      <c r="AD286" s="648" t="str">
        <f>IF(AB286="","",VLOOKUP(AB286,trancheage[],2,TRUE))</f>
        <v>Moins de 30 ans</v>
      </c>
      <c r="AE286" s="648" t="str">
        <f>IFERROR(VLOOKUP(AC286,trancheanciennete[],2,TRUE),"")</f>
        <v>2 : 5-9</v>
      </c>
      <c r="AF286" s="649" t="str">
        <f>IF(T286&gt;0,VLOOKUP(T286,Trancheremuneration[],2,TRUE),"")</f>
        <v>2:14 000-17 000</v>
      </c>
      <c r="AG286" s="650">
        <f t="shared" si="23"/>
        <v>56409.257336602837</v>
      </c>
      <c r="AH286" s="631" t="str">
        <f t="shared" si="24"/>
        <v>catégorie 3</v>
      </c>
      <c r="AI286" s="631"/>
    </row>
    <row r="287" spans="1:35" ht="14">
      <c r="A287" t="s">
        <v>849</v>
      </c>
      <c r="B287" s="645" t="s">
        <v>47</v>
      </c>
      <c r="C287" s="651">
        <v>24092</v>
      </c>
      <c r="D287" s="652">
        <v>42484</v>
      </c>
      <c r="E287" s="473" t="s">
        <v>501</v>
      </c>
      <c r="F287" s="1029" t="s">
        <v>49</v>
      </c>
      <c r="G287" s="472" t="s">
        <v>395</v>
      </c>
      <c r="H287" s="472" t="s">
        <v>393</v>
      </c>
      <c r="I287" s="474" t="s">
        <v>22</v>
      </c>
      <c r="J287" s="474" t="s">
        <v>28</v>
      </c>
      <c r="K287" s="475" t="s">
        <v>43</v>
      </c>
      <c r="L287" s="861" t="str">
        <f t="shared" si="20"/>
        <v>salarié</v>
      </c>
      <c r="M287" s="485" t="s">
        <v>48</v>
      </c>
      <c r="N287" s="485" t="s">
        <v>1</v>
      </c>
      <c r="O287" s="486">
        <v>0.8</v>
      </c>
      <c r="P287" s="481" t="s">
        <v>59</v>
      </c>
      <c r="Q287" s="482" t="s">
        <v>33</v>
      </c>
      <c r="R287" s="478">
        <v>1</v>
      </c>
      <c r="S287" s="479">
        <v>21</v>
      </c>
      <c r="T287" s="1">
        <v>47200</v>
      </c>
      <c r="U287" s="656">
        <v>46969.329868438814</v>
      </c>
      <c r="V287" s="479">
        <v>250</v>
      </c>
      <c r="W287" s="483">
        <v>1</v>
      </c>
      <c r="X287" s="476">
        <v>0</v>
      </c>
      <c r="Y287" s="476">
        <v>0</v>
      </c>
      <c r="Z287" s="476">
        <v>0</v>
      </c>
      <c r="AA287" s="646" t="s">
        <v>1000</v>
      </c>
      <c r="AB287" s="647">
        <f t="shared" si="21"/>
        <v>54</v>
      </c>
      <c r="AC287" s="647">
        <f t="shared" si="22"/>
        <v>4</v>
      </c>
      <c r="AD287" s="648" t="str">
        <f>IF(AB287="","",VLOOKUP(AB287,trancheage[],2,TRUE))</f>
        <v>50 ans et plus</v>
      </c>
      <c r="AE287" s="648" t="str">
        <f>IFERROR(VLOOKUP(AC287,trancheanciennete[],2,TRUE),"")</f>
        <v>2 : 5-9</v>
      </c>
      <c r="AF287" s="649" t="str">
        <f>IF(T287&gt;0,VLOOKUP(T287,Trancheremuneration[],2,TRUE),"")</f>
        <v>5 : + de 23 000</v>
      </c>
      <c r="AG287" s="650">
        <f t="shared" si="23"/>
        <v>56613.195842126574</v>
      </c>
      <c r="AH287" s="631" t="str">
        <f t="shared" si="24"/>
        <v>catégorie 2</v>
      </c>
      <c r="AI287" s="631"/>
    </row>
    <row r="288" spans="1:35" ht="14">
      <c r="A288" t="s">
        <v>850</v>
      </c>
      <c r="B288" s="645" t="s">
        <v>27</v>
      </c>
      <c r="C288" s="651">
        <v>33793</v>
      </c>
      <c r="D288" s="652">
        <v>42488</v>
      </c>
      <c r="E288" s="473" t="s">
        <v>501</v>
      </c>
      <c r="F288" s="1029" t="s">
        <v>50</v>
      </c>
      <c r="G288" s="472" t="s">
        <v>395</v>
      </c>
      <c r="H288" s="472" t="s">
        <v>393</v>
      </c>
      <c r="I288" s="474" t="s">
        <v>22</v>
      </c>
      <c r="J288" s="474" t="s">
        <v>29</v>
      </c>
      <c r="K288" s="475" t="s">
        <v>43</v>
      </c>
      <c r="L288" s="861" t="str">
        <f t="shared" si="20"/>
        <v>salarié</v>
      </c>
      <c r="M288" s="485" t="s">
        <v>48</v>
      </c>
      <c r="N288" s="485" t="s">
        <v>1</v>
      </c>
      <c r="O288" s="486">
        <v>0.8</v>
      </c>
      <c r="P288" s="481" t="s">
        <v>59</v>
      </c>
      <c r="Q288" s="482" t="s">
        <v>32</v>
      </c>
      <c r="R288" s="478">
        <v>0</v>
      </c>
      <c r="S288" s="479">
        <v>0</v>
      </c>
      <c r="T288" s="1">
        <v>40000</v>
      </c>
      <c r="U288" s="656">
        <v>30976.765468004931</v>
      </c>
      <c r="V288" s="479">
        <v>250</v>
      </c>
      <c r="W288" s="483">
        <v>0</v>
      </c>
      <c r="X288" s="476">
        <v>1</v>
      </c>
      <c r="Y288" s="476">
        <v>0</v>
      </c>
      <c r="Z288" s="476">
        <v>0</v>
      </c>
      <c r="AA288" s="646" t="s">
        <v>1000</v>
      </c>
      <c r="AB288" s="647">
        <f t="shared" si="21"/>
        <v>28</v>
      </c>
      <c r="AC288" s="647">
        <f t="shared" si="22"/>
        <v>4</v>
      </c>
      <c r="AD288" s="648" t="str">
        <f>IF(AB288="","",VLOOKUP(AB288,trancheage[],2,TRUE))</f>
        <v>Moins de 30 ans</v>
      </c>
      <c r="AE288" s="648" t="str">
        <f>IFERROR(VLOOKUP(AC288,trancheanciennete[],2,TRUE),"")</f>
        <v>2 : 5-9</v>
      </c>
      <c r="AF288" s="649" t="str">
        <f>IF(T288&gt;0,VLOOKUP(T288,Trancheremuneration[],2,TRUE),"")</f>
        <v>5 : + de 23 000</v>
      </c>
      <c r="AG288" s="650">
        <f t="shared" si="23"/>
        <v>37422.118561605916</v>
      </c>
      <c r="AH288" s="631" t="str">
        <f t="shared" si="24"/>
        <v>catégorie 2</v>
      </c>
      <c r="AI288" s="631"/>
    </row>
    <row r="289" spans="1:35" ht="14">
      <c r="A289" t="s">
        <v>851</v>
      </c>
      <c r="B289" s="645" t="s">
        <v>47</v>
      </c>
      <c r="C289" s="651">
        <v>28199</v>
      </c>
      <c r="D289" s="652">
        <v>42507</v>
      </c>
      <c r="E289" s="473" t="s">
        <v>501</v>
      </c>
      <c r="F289" s="1029" t="s">
        <v>49</v>
      </c>
      <c r="G289" s="472" t="s">
        <v>396</v>
      </c>
      <c r="H289" s="472" t="s">
        <v>393</v>
      </c>
      <c r="I289" s="474" t="s">
        <v>38</v>
      </c>
      <c r="J289" s="474" t="s">
        <v>284</v>
      </c>
      <c r="K289" s="475" t="s">
        <v>37</v>
      </c>
      <c r="L289" s="861" t="str">
        <f t="shared" si="20"/>
        <v>salarié</v>
      </c>
      <c r="M289" s="485" t="s">
        <v>48</v>
      </c>
      <c r="N289" s="485" t="s">
        <v>1</v>
      </c>
      <c r="O289" s="484">
        <v>0.8</v>
      </c>
      <c r="P289" s="476" t="s">
        <v>58</v>
      </c>
      <c r="Q289" s="477" t="s">
        <v>34</v>
      </c>
      <c r="R289" s="478">
        <v>1</v>
      </c>
      <c r="S289" s="479">
        <v>7</v>
      </c>
      <c r="T289" s="1">
        <v>36880</v>
      </c>
      <c r="U289" s="656">
        <v>52605.998578252838</v>
      </c>
      <c r="V289" s="479">
        <v>250</v>
      </c>
      <c r="W289" s="483">
        <v>1</v>
      </c>
      <c r="X289" s="476">
        <v>0</v>
      </c>
      <c r="Y289" s="476">
        <v>1</v>
      </c>
      <c r="Z289" s="476">
        <v>0</v>
      </c>
      <c r="AA289" s="646" t="s">
        <v>1000</v>
      </c>
      <c r="AB289" s="647">
        <f t="shared" si="21"/>
        <v>43</v>
      </c>
      <c r="AC289" s="647">
        <f t="shared" si="22"/>
        <v>4</v>
      </c>
      <c r="AD289" s="648" t="str">
        <f>IF(AB289="","",VLOOKUP(AB289,trancheage[],2,TRUE))</f>
        <v>40 à 49 ans</v>
      </c>
      <c r="AE289" s="648" t="str">
        <f>IFERROR(VLOOKUP(AC289,trancheanciennete[],2,TRUE),"")</f>
        <v>2 : 5-9</v>
      </c>
      <c r="AF289" s="649" t="str">
        <f>IF(T289&gt;0,VLOOKUP(T289,Trancheremuneration[],2,TRUE),"")</f>
        <v>5 : + de 23 000</v>
      </c>
      <c r="AG289" s="650">
        <f t="shared" si="23"/>
        <v>63377.198293903406</v>
      </c>
      <c r="AH289" s="631" t="str">
        <f t="shared" si="24"/>
        <v>catégorie 2</v>
      </c>
      <c r="AI289" s="631"/>
    </row>
    <row r="290" spans="1:35" ht="14">
      <c r="A290" t="s">
        <v>597</v>
      </c>
      <c r="B290" s="645" t="s">
        <v>47</v>
      </c>
      <c r="C290" s="651">
        <v>29516</v>
      </c>
      <c r="D290" s="652">
        <v>42508</v>
      </c>
      <c r="E290" s="473" t="s">
        <v>502</v>
      </c>
      <c r="F290" s="1029" t="s">
        <v>49</v>
      </c>
      <c r="G290" s="472" t="s">
        <v>397</v>
      </c>
      <c r="H290" s="472" t="s">
        <v>393</v>
      </c>
      <c r="I290" s="474" t="s">
        <v>22</v>
      </c>
      <c r="J290" s="474" t="s">
        <v>29</v>
      </c>
      <c r="K290" s="475" t="s">
        <v>43</v>
      </c>
      <c r="L290" s="861" t="str">
        <f t="shared" si="20"/>
        <v>salarié</v>
      </c>
      <c r="M290" s="485" t="s">
        <v>48</v>
      </c>
      <c r="N290" s="485" t="s">
        <v>0</v>
      </c>
      <c r="O290" s="484">
        <v>0.5</v>
      </c>
      <c r="P290" s="476" t="s">
        <v>58</v>
      </c>
      <c r="Q290" s="477" t="s">
        <v>30</v>
      </c>
      <c r="R290" s="478">
        <v>0</v>
      </c>
      <c r="S290" s="479">
        <v>7</v>
      </c>
      <c r="T290" s="1">
        <v>64000</v>
      </c>
      <c r="U290" s="656">
        <v>46333.881914424732</v>
      </c>
      <c r="V290" s="479">
        <v>250</v>
      </c>
      <c r="W290" s="483">
        <v>0</v>
      </c>
      <c r="X290" s="476">
        <v>0</v>
      </c>
      <c r="Y290" s="476">
        <v>1</v>
      </c>
      <c r="Z290" s="476">
        <v>0</v>
      </c>
      <c r="AA290" s="646" t="s">
        <v>1000</v>
      </c>
      <c r="AB290" s="647">
        <f t="shared" si="21"/>
        <v>39</v>
      </c>
      <c r="AC290" s="647">
        <f t="shared" si="22"/>
        <v>4</v>
      </c>
      <c r="AD290" s="648" t="str">
        <f>IF(AB290="","",VLOOKUP(AB290,trancheage[],2,TRUE))</f>
        <v>40 à 49 ans</v>
      </c>
      <c r="AE290" s="648" t="str">
        <f>IFERROR(VLOOKUP(AC290,trancheanciennete[],2,TRUE),"")</f>
        <v>2 : 5-9</v>
      </c>
      <c r="AF290" s="649" t="str">
        <f>IF(T290&gt;0,VLOOKUP(T290,Trancheremuneration[],2,TRUE),"")</f>
        <v>5 : + de 23 000</v>
      </c>
      <c r="AG290" s="650">
        <f t="shared" si="23"/>
        <v>69750.822871637094</v>
      </c>
      <c r="AH290" s="631" t="str">
        <f t="shared" si="24"/>
        <v>catégorie 2</v>
      </c>
      <c r="AI290" s="631"/>
    </row>
    <row r="291" spans="1:35" ht="14">
      <c r="A291" t="s">
        <v>852</v>
      </c>
      <c r="B291" s="645" t="s">
        <v>47</v>
      </c>
      <c r="C291" s="651">
        <v>29080</v>
      </c>
      <c r="D291" s="652">
        <v>42520</v>
      </c>
      <c r="E291" s="473" t="s">
        <v>505</v>
      </c>
      <c r="F291" s="1029" t="s">
        <v>49</v>
      </c>
      <c r="G291" s="472" t="s">
        <v>398</v>
      </c>
      <c r="H291" s="472" t="s">
        <v>393</v>
      </c>
      <c r="I291" s="474" t="s">
        <v>22</v>
      </c>
      <c r="J291" s="474" t="s">
        <v>29</v>
      </c>
      <c r="K291" s="475" t="s">
        <v>43</v>
      </c>
      <c r="L291" s="861" t="str">
        <f t="shared" si="20"/>
        <v>salarié</v>
      </c>
      <c r="M291" s="485" t="s">
        <v>48</v>
      </c>
      <c r="N291" s="485" t="s">
        <v>0</v>
      </c>
      <c r="O291" s="486">
        <v>0.8</v>
      </c>
      <c r="P291" s="481" t="s">
        <v>58</v>
      </c>
      <c r="Q291" s="482" t="s">
        <v>33</v>
      </c>
      <c r="R291" s="478">
        <v>1</v>
      </c>
      <c r="S291" s="479">
        <v>14</v>
      </c>
      <c r="T291" s="1">
        <v>47920</v>
      </c>
      <c r="U291" s="656">
        <v>17727.997319887167</v>
      </c>
      <c r="V291" s="479">
        <v>500</v>
      </c>
      <c r="W291" s="483">
        <v>1</v>
      </c>
      <c r="X291" s="476">
        <v>0</v>
      </c>
      <c r="Y291" s="476">
        <v>0</v>
      </c>
      <c r="Z291" s="476">
        <v>1</v>
      </c>
      <c r="AA291" s="646" t="s">
        <v>1000</v>
      </c>
      <c r="AB291" s="647">
        <f t="shared" si="21"/>
        <v>41</v>
      </c>
      <c r="AC291" s="647">
        <f t="shared" si="22"/>
        <v>4</v>
      </c>
      <c r="AD291" s="648" t="str">
        <f>IF(AB291="","",VLOOKUP(AB291,trancheage[],2,TRUE))</f>
        <v>40 à 49 ans</v>
      </c>
      <c r="AE291" s="648" t="str">
        <f>IFERROR(VLOOKUP(AC291,trancheanciennete[],2,TRUE),"")</f>
        <v>2 : 5-9</v>
      </c>
      <c r="AF291" s="649" t="str">
        <f>IF(T291&gt;0,VLOOKUP(T291,Trancheremuneration[],2,TRUE),"")</f>
        <v>5 : + de 23 000</v>
      </c>
      <c r="AG291" s="650">
        <f t="shared" si="23"/>
        <v>21773.596783864599</v>
      </c>
      <c r="AH291" s="631" t="str">
        <f t="shared" si="24"/>
        <v>catégorie 2</v>
      </c>
      <c r="AI291" s="631"/>
    </row>
    <row r="292" spans="1:35" ht="14">
      <c r="A292" t="s">
        <v>853</v>
      </c>
      <c r="B292" s="645" t="s">
        <v>47</v>
      </c>
      <c r="C292" s="651">
        <v>36534</v>
      </c>
      <c r="D292" s="652">
        <v>42520</v>
      </c>
      <c r="E292" s="473" t="s">
        <v>501</v>
      </c>
      <c r="F292" s="1029" t="s">
        <v>49</v>
      </c>
      <c r="G292" s="472" t="s">
        <v>399</v>
      </c>
      <c r="H292" s="472" t="s">
        <v>392</v>
      </c>
      <c r="I292" s="474" t="s">
        <v>23</v>
      </c>
      <c r="J292" s="474" t="s">
        <v>18</v>
      </c>
      <c r="K292" s="475" t="s">
        <v>36</v>
      </c>
      <c r="L292" s="861" t="str">
        <f t="shared" si="20"/>
        <v>salarié</v>
      </c>
      <c r="M292" s="485" t="s">
        <v>48</v>
      </c>
      <c r="N292" s="485" t="s">
        <v>1</v>
      </c>
      <c r="O292" s="486">
        <v>0.8</v>
      </c>
      <c r="P292" s="481" t="s">
        <v>59</v>
      </c>
      <c r="Q292" s="482" t="s">
        <v>31</v>
      </c>
      <c r="R292" s="478">
        <v>0</v>
      </c>
      <c r="S292" s="479">
        <v>7</v>
      </c>
      <c r="T292" s="1">
        <v>17200</v>
      </c>
      <c r="U292" s="656">
        <v>41924.283295994217</v>
      </c>
      <c r="V292" s="479">
        <v>250</v>
      </c>
      <c r="W292" s="483">
        <v>0</v>
      </c>
      <c r="X292" s="476">
        <v>1</v>
      </c>
      <c r="Y292" s="476">
        <v>1</v>
      </c>
      <c r="Z292" s="476">
        <v>1</v>
      </c>
      <c r="AA292" s="646" t="s">
        <v>1000</v>
      </c>
      <c r="AB292" s="647">
        <f t="shared" si="21"/>
        <v>20</v>
      </c>
      <c r="AC292" s="647">
        <f t="shared" si="22"/>
        <v>4</v>
      </c>
      <c r="AD292" s="648" t="str">
        <f>IF(AB292="","",VLOOKUP(AB292,trancheage[],2,TRUE))</f>
        <v>Moins de 30 ans</v>
      </c>
      <c r="AE292" s="648" t="str">
        <f>IFERROR(VLOOKUP(AC292,trancheanciennete[],2,TRUE),"")</f>
        <v>2 : 5-9</v>
      </c>
      <c r="AF292" s="649" t="str">
        <f>IF(T292&gt;0,VLOOKUP(T292,Trancheremuneration[],2,TRUE),"")</f>
        <v>3:17 000-20 000</v>
      </c>
      <c r="AG292" s="650">
        <f t="shared" si="23"/>
        <v>50559.139955193059</v>
      </c>
      <c r="AH292" s="631" t="str">
        <f t="shared" si="24"/>
        <v>catégorie 1</v>
      </c>
      <c r="AI292" s="631"/>
    </row>
    <row r="293" spans="1:35" ht="14">
      <c r="A293" t="s">
        <v>854</v>
      </c>
      <c r="B293" s="645" t="s">
        <v>27</v>
      </c>
      <c r="C293" s="651">
        <v>34483</v>
      </c>
      <c r="D293" s="652">
        <v>42521</v>
      </c>
      <c r="E293" s="473" t="s">
        <v>501</v>
      </c>
      <c r="F293" s="1029" t="s">
        <v>3</v>
      </c>
      <c r="G293" s="472" t="s">
        <v>397</v>
      </c>
      <c r="H293" s="472" t="s">
        <v>392</v>
      </c>
      <c r="I293" s="474" t="s">
        <v>22</v>
      </c>
      <c r="J293" s="474" t="s">
        <v>29</v>
      </c>
      <c r="K293" s="475" t="s">
        <v>35</v>
      </c>
      <c r="L293" s="861" t="str">
        <f t="shared" si="20"/>
        <v>salarié</v>
      </c>
      <c r="M293" s="485" t="s">
        <v>48</v>
      </c>
      <c r="N293" s="485" t="s">
        <v>1</v>
      </c>
      <c r="O293" s="486">
        <v>1</v>
      </c>
      <c r="P293" s="481" t="s">
        <v>59</v>
      </c>
      <c r="Q293" s="482" t="s">
        <v>30</v>
      </c>
      <c r="R293" s="478">
        <v>0</v>
      </c>
      <c r="S293" s="479">
        <v>7</v>
      </c>
      <c r="T293" s="1">
        <v>37360</v>
      </c>
      <c r="U293" s="656">
        <v>26156.023906499271</v>
      </c>
      <c r="V293" s="479">
        <v>500</v>
      </c>
      <c r="W293" s="483">
        <v>0</v>
      </c>
      <c r="X293" s="476">
        <v>0</v>
      </c>
      <c r="Y293" s="476">
        <v>0</v>
      </c>
      <c r="Z293" s="476">
        <v>1</v>
      </c>
      <c r="AA293" s="646" t="s">
        <v>1000</v>
      </c>
      <c r="AB293" s="647">
        <f t="shared" si="21"/>
        <v>26</v>
      </c>
      <c r="AC293" s="647">
        <f t="shared" si="22"/>
        <v>4</v>
      </c>
      <c r="AD293" s="648" t="str">
        <f>IF(AB293="","",VLOOKUP(AB293,trancheage[],2,TRUE))</f>
        <v>Moins de 30 ans</v>
      </c>
      <c r="AE293" s="648" t="str">
        <f>IFERROR(VLOOKUP(AC293,trancheanciennete[],2,TRUE),"")</f>
        <v>2 : 5-9</v>
      </c>
      <c r="AF293" s="649" t="str">
        <f>IF(T293&gt;0,VLOOKUP(T293,Trancheremuneration[],2,TRUE),"")</f>
        <v>5 : + de 23 000</v>
      </c>
      <c r="AG293" s="650">
        <f t="shared" si="23"/>
        <v>26656.023906499271</v>
      </c>
      <c r="AH293" s="631" t="str">
        <f t="shared" si="24"/>
        <v>catégorie 1</v>
      </c>
      <c r="AI293" s="631"/>
    </row>
    <row r="294" spans="1:35" ht="14">
      <c r="A294" t="s">
        <v>855</v>
      </c>
      <c r="B294" s="645" t="s">
        <v>47</v>
      </c>
      <c r="C294" s="651">
        <v>35962</v>
      </c>
      <c r="D294" s="652">
        <v>42533</v>
      </c>
      <c r="E294" s="473" t="s">
        <v>505</v>
      </c>
      <c r="F294" s="1029" t="s">
        <v>49</v>
      </c>
      <c r="G294" s="472" t="s">
        <v>398</v>
      </c>
      <c r="H294" s="472" t="s">
        <v>392</v>
      </c>
      <c r="I294" s="474" t="s">
        <v>22</v>
      </c>
      <c r="J294" s="474" t="s">
        <v>29</v>
      </c>
      <c r="K294" s="475" t="s">
        <v>43</v>
      </c>
      <c r="L294" s="861" t="str">
        <f t="shared" si="20"/>
        <v>salarié</v>
      </c>
      <c r="M294" s="485" t="s">
        <v>48</v>
      </c>
      <c r="N294" s="485" t="s">
        <v>0</v>
      </c>
      <c r="O294" s="486">
        <v>1</v>
      </c>
      <c r="P294" s="481" t="s">
        <v>58</v>
      </c>
      <c r="Q294" s="482" t="s">
        <v>34</v>
      </c>
      <c r="R294" s="478">
        <v>1</v>
      </c>
      <c r="S294" s="479">
        <v>7</v>
      </c>
      <c r="T294" s="1">
        <v>25720</v>
      </c>
      <c r="U294" s="656">
        <v>9589.3240835680372</v>
      </c>
      <c r="V294" s="479">
        <v>250</v>
      </c>
      <c r="W294" s="483">
        <v>1</v>
      </c>
      <c r="X294" s="476">
        <v>0</v>
      </c>
      <c r="Y294" s="476">
        <v>1</v>
      </c>
      <c r="Z294" s="476">
        <v>0</v>
      </c>
      <c r="AA294" s="646" t="s">
        <v>1000</v>
      </c>
      <c r="AB294" s="647">
        <f t="shared" si="21"/>
        <v>22</v>
      </c>
      <c r="AC294" s="647">
        <f t="shared" si="22"/>
        <v>4</v>
      </c>
      <c r="AD294" s="648" t="str">
        <f>IF(AB294="","",VLOOKUP(AB294,trancheage[],2,TRUE))</f>
        <v>Moins de 30 ans</v>
      </c>
      <c r="AE294" s="648" t="str">
        <f>IFERROR(VLOOKUP(AC294,trancheanciennete[],2,TRUE),"")</f>
        <v>2 : 5-9</v>
      </c>
      <c r="AF294" s="649" t="str">
        <f>IF(T294&gt;0,VLOOKUP(T294,Trancheremuneration[],2,TRUE),"")</f>
        <v>5 : + de 23 000</v>
      </c>
      <c r="AG294" s="650">
        <f t="shared" si="23"/>
        <v>9839.3240835680372</v>
      </c>
      <c r="AH294" s="631" t="str">
        <f t="shared" si="24"/>
        <v>catégorie 1</v>
      </c>
      <c r="AI294" s="631"/>
    </row>
    <row r="295" spans="1:35" ht="14">
      <c r="A295" t="s">
        <v>590</v>
      </c>
      <c r="B295" s="645" t="s">
        <v>27</v>
      </c>
      <c r="C295" s="651">
        <v>36280</v>
      </c>
      <c r="D295" s="652">
        <v>42540</v>
      </c>
      <c r="E295" s="473" t="s">
        <v>501</v>
      </c>
      <c r="F295" s="1029" t="s">
        <v>50</v>
      </c>
      <c r="G295" s="472" t="s">
        <v>395</v>
      </c>
      <c r="H295" s="472" t="s">
        <v>392</v>
      </c>
      <c r="I295" s="474" t="s">
        <v>22</v>
      </c>
      <c r="J295" s="474" t="s">
        <v>29</v>
      </c>
      <c r="K295" s="475" t="s">
        <v>43</v>
      </c>
      <c r="L295" s="861" t="str">
        <f t="shared" si="20"/>
        <v>salarié</v>
      </c>
      <c r="M295" s="485" t="s">
        <v>42</v>
      </c>
      <c r="N295" s="485" t="s">
        <v>1</v>
      </c>
      <c r="O295" s="486">
        <v>1</v>
      </c>
      <c r="P295" s="481" t="s">
        <v>59</v>
      </c>
      <c r="Q295" s="482" t="s">
        <v>33</v>
      </c>
      <c r="R295" s="478">
        <v>1</v>
      </c>
      <c r="S295" s="479">
        <v>7</v>
      </c>
      <c r="T295" s="1">
        <v>11200</v>
      </c>
      <c r="U295" s="656">
        <v>16901.70308779904</v>
      </c>
      <c r="V295" s="479">
        <v>250</v>
      </c>
      <c r="W295" s="483">
        <v>1</v>
      </c>
      <c r="X295" s="476">
        <v>0</v>
      </c>
      <c r="Y295" s="476">
        <v>1</v>
      </c>
      <c r="Z295" s="476">
        <v>0</v>
      </c>
      <c r="AA295" s="646" t="s">
        <v>1000</v>
      </c>
      <c r="AB295" s="647">
        <f t="shared" si="21"/>
        <v>21</v>
      </c>
      <c r="AC295" s="647">
        <f t="shared" si="22"/>
        <v>4</v>
      </c>
      <c r="AD295" s="648" t="str">
        <f>IF(AB295="","",VLOOKUP(AB295,trancheage[],2,TRUE))</f>
        <v>Moins de 30 ans</v>
      </c>
      <c r="AE295" s="648" t="str">
        <f>IFERROR(VLOOKUP(AC295,trancheanciennete[],2,TRUE),"")</f>
        <v>2 : 5-9</v>
      </c>
      <c r="AF295" s="649" t="str">
        <f>IF(T295&gt;0,VLOOKUP(T295,Trancheremuneration[],2,TRUE),"")</f>
        <v>1:7 000-14 000</v>
      </c>
      <c r="AG295" s="650">
        <f t="shared" si="23"/>
        <v>17151.70308779904</v>
      </c>
      <c r="AH295" s="631" t="str">
        <f t="shared" si="24"/>
        <v>catégorie 1</v>
      </c>
      <c r="AI295" s="631"/>
    </row>
    <row r="296" spans="1:35" ht="14">
      <c r="A296" t="s">
        <v>856</v>
      </c>
      <c r="B296" s="645" t="s">
        <v>27</v>
      </c>
      <c r="C296" s="651">
        <v>36994</v>
      </c>
      <c r="D296" s="652">
        <v>42541</v>
      </c>
      <c r="E296" s="473" t="s">
        <v>501</v>
      </c>
      <c r="F296" s="1029" t="s">
        <v>3</v>
      </c>
      <c r="G296" s="472" t="s">
        <v>395</v>
      </c>
      <c r="H296" s="472" t="s">
        <v>392</v>
      </c>
      <c r="I296" s="474" t="s">
        <v>23</v>
      </c>
      <c r="J296" s="474" t="s">
        <v>18</v>
      </c>
      <c r="K296" s="475" t="s">
        <v>36</v>
      </c>
      <c r="L296" s="861" t="str">
        <f t="shared" si="20"/>
        <v>salarié</v>
      </c>
      <c r="M296" s="485" t="s">
        <v>48</v>
      </c>
      <c r="N296" s="485" t="s">
        <v>0</v>
      </c>
      <c r="O296" s="486">
        <v>1</v>
      </c>
      <c r="P296" s="481" t="s">
        <v>58</v>
      </c>
      <c r="Q296" s="482" t="s">
        <v>34</v>
      </c>
      <c r="R296" s="478">
        <v>1</v>
      </c>
      <c r="S296" s="479">
        <v>28</v>
      </c>
      <c r="T296" s="1">
        <v>16720</v>
      </c>
      <c r="U296" s="656">
        <v>39335.705749000866</v>
      </c>
      <c r="V296" s="479">
        <v>250</v>
      </c>
      <c r="W296" s="483">
        <v>1</v>
      </c>
      <c r="X296" s="476">
        <v>0</v>
      </c>
      <c r="Y296" s="476">
        <v>1</v>
      </c>
      <c r="Z296" s="476">
        <v>0</v>
      </c>
      <c r="AA296" s="646" t="s">
        <v>1000</v>
      </c>
      <c r="AB296" s="647">
        <f t="shared" si="21"/>
        <v>19</v>
      </c>
      <c r="AC296" s="647">
        <f t="shared" si="22"/>
        <v>4</v>
      </c>
      <c r="AD296" s="648" t="str">
        <f>IF(AB296="","",VLOOKUP(AB296,trancheage[],2,TRUE))</f>
        <v>Moins de 30 ans</v>
      </c>
      <c r="AE296" s="648" t="str">
        <f>IFERROR(VLOOKUP(AC296,trancheanciennete[],2,TRUE),"")</f>
        <v>2 : 5-9</v>
      </c>
      <c r="AF296" s="649" t="str">
        <f>IF(T296&gt;0,VLOOKUP(T296,Trancheremuneration[],2,TRUE),"")</f>
        <v>2:14 000-17 000</v>
      </c>
      <c r="AG296" s="650">
        <f t="shared" si="23"/>
        <v>39585.705749000866</v>
      </c>
      <c r="AH296" s="631" t="str">
        <f t="shared" si="24"/>
        <v>catégorie 1</v>
      </c>
      <c r="AI296" s="631"/>
    </row>
    <row r="297" spans="1:35" ht="14">
      <c r="A297" t="s">
        <v>857</v>
      </c>
      <c r="B297" s="645" t="s">
        <v>47</v>
      </c>
      <c r="C297" s="651">
        <v>36738</v>
      </c>
      <c r="D297" s="652">
        <v>42544</v>
      </c>
      <c r="E297" s="473" t="s">
        <v>501</v>
      </c>
      <c r="F297" s="1029" t="s">
        <v>49</v>
      </c>
      <c r="G297" s="472" t="s">
        <v>395</v>
      </c>
      <c r="H297" s="472" t="s">
        <v>392</v>
      </c>
      <c r="I297" s="474" t="s">
        <v>22</v>
      </c>
      <c r="J297" s="474" t="s">
        <v>29</v>
      </c>
      <c r="K297" s="475" t="s">
        <v>43</v>
      </c>
      <c r="L297" s="861" t="str">
        <f t="shared" si="20"/>
        <v>salarié</v>
      </c>
      <c r="M297" s="485" t="s">
        <v>40</v>
      </c>
      <c r="N297" s="485" t="s">
        <v>0</v>
      </c>
      <c r="O297" s="486">
        <v>1</v>
      </c>
      <c r="P297" s="481" t="s">
        <v>58</v>
      </c>
      <c r="Q297" s="482" t="s">
        <v>33</v>
      </c>
      <c r="R297" s="478">
        <v>1</v>
      </c>
      <c r="S297" s="479">
        <v>14</v>
      </c>
      <c r="T297" s="1">
        <v>35440</v>
      </c>
      <c r="U297" s="656">
        <v>17663.602358845863</v>
      </c>
      <c r="V297" s="479">
        <v>250</v>
      </c>
      <c r="W297" s="483">
        <v>1</v>
      </c>
      <c r="X297" s="476">
        <v>0</v>
      </c>
      <c r="Y297" s="476">
        <v>0</v>
      </c>
      <c r="Z297" s="476">
        <v>0</v>
      </c>
      <c r="AA297" s="646" t="s">
        <v>1000</v>
      </c>
      <c r="AB297" s="647">
        <f t="shared" si="21"/>
        <v>20</v>
      </c>
      <c r="AC297" s="647">
        <f t="shared" si="22"/>
        <v>4</v>
      </c>
      <c r="AD297" s="648" t="str">
        <f>IF(AB297="","",VLOOKUP(AB297,trancheage[],2,TRUE))</f>
        <v>Moins de 30 ans</v>
      </c>
      <c r="AE297" s="648" t="str">
        <f>IFERROR(VLOOKUP(AC297,trancheanciennete[],2,TRUE),"")</f>
        <v>2 : 5-9</v>
      </c>
      <c r="AF297" s="649" t="str">
        <f>IF(T297&gt;0,VLOOKUP(T297,Trancheremuneration[],2,TRUE),"")</f>
        <v>5 : + de 23 000</v>
      </c>
      <c r="AG297" s="650">
        <f t="shared" si="23"/>
        <v>17913.602358845863</v>
      </c>
      <c r="AH297" s="631" t="str">
        <f t="shared" si="24"/>
        <v>catégorie 1</v>
      </c>
      <c r="AI297" s="631"/>
    </row>
    <row r="298" spans="1:35" ht="14">
      <c r="A298" t="s">
        <v>574</v>
      </c>
      <c r="B298" s="645" t="s">
        <v>27</v>
      </c>
      <c r="C298" s="651">
        <v>37067</v>
      </c>
      <c r="D298" s="652">
        <v>42548</v>
      </c>
      <c r="E298" s="473" t="s">
        <v>505</v>
      </c>
      <c r="F298" s="1029" t="s">
        <v>50</v>
      </c>
      <c r="G298" s="472" t="s">
        <v>399</v>
      </c>
      <c r="H298" s="472" t="s">
        <v>392</v>
      </c>
      <c r="I298" s="474" t="s">
        <v>22</v>
      </c>
      <c r="J298" s="474" t="s">
        <v>28</v>
      </c>
      <c r="K298" s="475" t="s">
        <v>43</v>
      </c>
      <c r="L298" s="861" t="str">
        <f t="shared" si="20"/>
        <v>salarié</v>
      </c>
      <c r="M298" s="483" t="s">
        <v>48</v>
      </c>
      <c r="N298" s="483" t="s">
        <v>0</v>
      </c>
      <c r="O298" s="486">
        <v>1</v>
      </c>
      <c r="P298" s="481" t="s">
        <v>58</v>
      </c>
      <c r="Q298" s="482" t="s">
        <v>31</v>
      </c>
      <c r="R298" s="478">
        <v>0</v>
      </c>
      <c r="S298" s="479">
        <v>7</v>
      </c>
      <c r="T298" s="1">
        <v>20080</v>
      </c>
      <c r="U298" s="656">
        <v>7870.7744944180031</v>
      </c>
      <c r="V298" s="479">
        <v>250</v>
      </c>
      <c r="W298" s="483">
        <v>0</v>
      </c>
      <c r="X298" s="476">
        <v>1</v>
      </c>
      <c r="Y298" s="476">
        <v>0</v>
      </c>
      <c r="Z298" s="476">
        <v>0</v>
      </c>
      <c r="AA298" s="646" t="s">
        <v>1000</v>
      </c>
      <c r="AB298" s="647">
        <f t="shared" si="21"/>
        <v>19</v>
      </c>
      <c r="AC298" s="647">
        <f t="shared" si="22"/>
        <v>4</v>
      </c>
      <c r="AD298" s="648" t="str">
        <f>IF(AB298="","",VLOOKUP(AB298,trancheage[],2,TRUE))</f>
        <v>Moins de 30 ans</v>
      </c>
      <c r="AE298" s="648" t="str">
        <f>IFERROR(VLOOKUP(AC298,trancheanciennete[],2,TRUE),"")</f>
        <v>2 : 5-9</v>
      </c>
      <c r="AF298" s="649" t="str">
        <f>IF(T298&gt;0,VLOOKUP(T298,Trancheremuneration[],2,TRUE),"")</f>
        <v>4: 20 000-23 000</v>
      </c>
      <c r="AG298" s="650">
        <f t="shared" si="23"/>
        <v>8120.7744944180031</v>
      </c>
      <c r="AH298" s="631" t="str">
        <f t="shared" si="24"/>
        <v>catégorie 1</v>
      </c>
      <c r="AI298" s="631"/>
    </row>
    <row r="299" spans="1:35" ht="14">
      <c r="A299" t="s">
        <v>858</v>
      </c>
      <c r="B299" s="645" t="s">
        <v>47</v>
      </c>
      <c r="C299" s="651">
        <v>36036</v>
      </c>
      <c r="D299" s="652">
        <v>42570</v>
      </c>
      <c r="E299" s="473" t="s">
        <v>504</v>
      </c>
      <c r="F299" s="1029" t="s">
        <v>49</v>
      </c>
      <c r="G299" s="472" t="s">
        <v>396</v>
      </c>
      <c r="H299" s="472" t="s">
        <v>392</v>
      </c>
      <c r="I299" s="474" t="s">
        <v>22</v>
      </c>
      <c r="J299" s="474" t="s">
        <v>28</v>
      </c>
      <c r="K299" s="475" t="s">
        <v>43</v>
      </c>
      <c r="L299" s="861" t="str">
        <f t="shared" si="20"/>
        <v>salarié</v>
      </c>
      <c r="M299" s="483" t="s">
        <v>48</v>
      </c>
      <c r="N299" s="483" t="s">
        <v>0</v>
      </c>
      <c r="O299" s="486">
        <v>1</v>
      </c>
      <c r="P299" s="481" t="s">
        <v>58</v>
      </c>
      <c r="Q299" s="482" t="s">
        <v>31</v>
      </c>
      <c r="R299" s="478">
        <v>0</v>
      </c>
      <c r="S299" s="479">
        <v>0</v>
      </c>
      <c r="T299" s="1">
        <v>10960</v>
      </c>
      <c r="U299" s="656">
        <v>15337.539787358197</v>
      </c>
      <c r="V299" s="479">
        <v>100</v>
      </c>
      <c r="W299" s="483">
        <v>0</v>
      </c>
      <c r="X299" s="476">
        <v>1</v>
      </c>
      <c r="Y299" s="476">
        <v>0</v>
      </c>
      <c r="Z299" s="476">
        <v>0</v>
      </c>
      <c r="AA299" s="646" t="s">
        <v>1000</v>
      </c>
      <c r="AB299" s="647">
        <f t="shared" si="21"/>
        <v>22</v>
      </c>
      <c r="AC299" s="647">
        <f t="shared" si="22"/>
        <v>4</v>
      </c>
      <c r="AD299" s="648" t="str">
        <f>IF(AB299="","",VLOOKUP(AB299,trancheage[],2,TRUE))</f>
        <v>Moins de 30 ans</v>
      </c>
      <c r="AE299" s="648" t="str">
        <f>IFERROR(VLOOKUP(AC299,trancheanciennete[],2,TRUE),"")</f>
        <v>2 : 5-9</v>
      </c>
      <c r="AF299" s="649" t="str">
        <f>IF(T299&gt;0,VLOOKUP(T299,Trancheremuneration[],2,TRUE),"")</f>
        <v>1:7 000-14 000</v>
      </c>
      <c r="AG299" s="650">
        <f t="shared" si="23"/>
        <v>15437.539787358197</v>
      </c>
      <c r="AH299" s="631" t="str">
        <f t="shared" si="24"/>
        <v>catégorie 1</v>
      </c>
      <c r="AI299" s="631"/>
    </row>
    <row r="300" spans="1:35" ht="14">
      <c r="A300" t="s">
        <v>859</v>
      </c>
      <c r="B300" s="645" t="s">
        <v>47</v>
      </c>
      <c r="C300" s="651">
        <v>27190</v>
      </c>
      <c r="D300" s="652">
        <v>42573</v>
      </c>
      <c r="E300" s="473" t="s">
        <v>501</v>
      </c>
      <c r="F300" s="1029" t="s">
        <v>3</v>
      </c>
      <c r="G300" s="472" t="s">
        <v>397</v>
      </c>
      <c r="H300" s="472" t="s">
        <v>392</v>
      </c>
      <c r="I300" s="474" t="s">
        <v>23</v>
      </c>
      <c r="J300" s="474" t="s">
        <v>18</v>
      </c>
      <c r="K300" s="475" t="s">
        <v>36</v>
      </c>
      <c r="L300" s="861" t="str">
        <f t="shared" si="20"/>
        <v>salarié</v>
      </c>
      <c r="M300" s="485" t="s">
        <v>48</v>
      </c>
      <c r="N300" s="485" t="s">
        <v>1</v>
      </c>
      <c r="O300" s="486">
        <v>1</v>
      </c>
      <c r="P300" s="481" t="s">
        <v>58</v>
      </c>
      <c r="Q300" s="482" t="s">
        <v>39</v>
      </c>
      <c r="R300" s="478">
        <v>1</v>
      </c>
      <c r="S300" s="479">
        <v>0</v>
      </c>
      <c r="T300" s="1">
        <v>14800</v>
      </c>
      <c r="U300" s="656">
        <v>25043.769958438315</v>
      </c>
      <c r="V300" s="479">
        <v>100</v>
      </c>
      <c r="W300" s="483">
        <v>1</v>
      </c>
      <c r="X300" s="476">
        <v>0</v>
      </c>
      <c r="Y300" s="476">
        <v>0</v>
      </c>
      <c r="Z300" s="476">
        <v>0</v>
      </c>
      <c r="AA300" s="646" t="s">
        <v>1000</v>
      </c>
      <c r="AB300" s="647">
        <f t="shared" si="21"/>
        <v>46</v>
      </c>
      <c r="AC300" s="647">
        <f t="shared" si="22"/>
        <v>4</v>
      </c>
      <c r="AD300" s="648" t="str">
        <f>IF(AB300="","",VLOOKUP(AB300,trancheage[],2,TRUE))</f>
        <v>40 à 49 ans</v>
      </c>
      <c r="AE300" s="648" t="str">
        <f>IFERROR(VLOOKUP(AC300,trancheanciennete[],2,TRUE),"")</f>
        <v>2 : 5-9</v>
      </c>
      <c r="AF300" s="649" t="str">
        <f>IF(T300&gt;0,VLOOKUP(T300,Trancheremuneration[],2,TRUE),"")</f>
        <v>2:14 000-17 000</v>
      </c>
      <c r="AG300" s="650">
        <f t="shared" si="23"/>
        <v>25143.769958438315</v>
      </c>
      <c r="AH300" s="631" t="str">
        <f t="shared" si="24"/>
        <v>catégorie 1</v>
      </c>
      <c r="AI300" s="631"/>
    </row>
    <row r="301" spans="1:35" ht="14">
      <c r="A301" t="s">
        <v>860</v>
      </c>
      <c r="B301" s="645" t="s">
        <v>27</v>
      </c>
      <c r="C301" s="651">
        <v>33634</v>
      </c>
      <c r="D301" s="652">
        <v>42581</v>
      </c>
      <c r="E301" s="473" t="s">
        <v>501</v>
      </c>
      <c r="F301" s="1029" t="s">
        <v>3</v>
      </c>
      <c r="G301" s="472" t="s">
        <v>398</v>
      </c>
      <c r="H301" s="472" t="s">
        <v>392</v>
      </c>
      <c r="I301" s="474" t="s">
        <v>23</v>
      </c>
      <c r="J301" s="474" t="s">
        <v>18</v>
      </c>
      <c r="K301" s="475" t="s">
        <v>302</v>
      </c>
      <c r="L301" s="861" t="str">
        <f t="shared" si="20"/>
        <v>salarié</v>
      </c>
      <c r="M301" s="485" t="s">
        <v>42</v>
      </c>
      <c r="N301" s="485" t="s">
        <v>0</v>
      </c>
      <c r="O301" s="486">
        <v>0.8</v>
      </c>
      <c r="P301" s="481" t="s">
        <v>59</v>
      </c>
      <c r="Q301" s="482" t="s">
        <v>32</v>
      </c>
      <c r="R301" s="478">
        <v>0</v>
      </c>
      <c r="S301" s="479">
        <v>0</v>
      </c>
      <c r="T301" s="1">
        <v>30760</v>
      </c>
      <c r="U301" s="656">
        <v>22400.245119768166</v>
      </c>
      <c r="V301" s="479">
        <v>250</v>
      </c>
      <c r="W301" s="483">
        <v>0</v>
      </c>
      <c r="X301" s="476">
        <v>0</v>
      </c>
      <c r="Y301" s="476">
        <v>0</v>
      </c>
      <c r="Z301" s="476">
        <v>0</v>
      </c>
      <c r="AA301" s="646" t="s">
        <v>1000</v>
      </c>
      <c r="AB301" s="647">
        <f t="shared" si="21"/>
        <v>28</v>
      </c>
      <c r="AC301" s="647">
        <f t="shared" si="22"/>
        <v>4</v>
      </c>
      <c r="AD301" s="648" t="str">
        <f>IF(AB301="","",VLOOKUP(AB301,trancheage[],2,TRUE))</f>
        <v>Moins de 30 ans</v>
      </c>
      <c r="AE301" s="648" t="str">
        <f>IFERROR(VLOOKUP(AC301,trancheanciennete[],2,TRUE),"")</f>
        <v>2 : 5-9</v>
      </c>
      <c r="AF301" s="649" t="str">
        <f>IF(T301&gt;0,VLOOKUP(T301,Trancheremuneration[],2,TRUE),"")</f>
        <v>5 : + de 23 000</v>
      </c>
      <c r="AG301" s="650">
        <f t="shared" si="23"/>
        <v>27130.2941437218</v>
      </c>
      <c r="AH301" s="631" t="str">
        <f t="shared" si="24"/>
        <v>catégorie 1</v>
      </c>
      <c r="AI301" s="631"/>
    </row>
    <row r="302" spans="1:35" ht="14">
      <c r="A302" t="s">
        <v>861</v>
      </c>
      <c r="B302" s="645" t="s">
        <v>47</v>
      </c>
      <c r="C302" s="651">
        <v>34817</v>
      </c>
      <c r="D302" s="652">
        <v>42596</v>
      </c>
      <c r="E302" s="473" t="s">
        <v>501</v>
      </c>
      <c r="F302" s="1029" t="s">
        <v>50</v>
      </c>
      <c r="G302" s="472" t="s">
        <v>399</v>
      </c>
      <c r="H302" s="472" t="s">
        <v>392</v>
      </c>
      <c r="I302" s="474" t="s">
        <v>22</v>
      </c>
      <c r="J302" s="474" t="s">
        <v>28</v>
      </c>
      <c r="K302" s="475" t="s">
        <v>43</v>
      </c>
      <c r="L302" s="861" t="str">
        <f t="shared" si="20"/>
        <v>salarié</v>
      </c>
      <c r="M302" s="485" t="s">
        <v>48</v>
      </c>
      <c r="N302" s="485" t="s">
        <v>1</v>
      </c>
      <c r="O302" s="486">
        <v>0.8</v>
      </c>
      <c r="P302" s="481" t="s">
        <v>59</v>
      </c>
      <c r="Q302" s="482" t="s">
        <v>32</v>
      </c>
      <c r="R302" s="478">
        <v>0</v>
      </c>
      <c r="S302" s="479">
        <v>0</v>
      </c>
      <c r="T302" s="1">
        <v>20320</v>
      </c>
      <c r="U302" s="656">
        <v>33280.696126502342</v>
      </c>
      <c r="V302" s="479">
        <v>500</v>
      </c>
      <c r="W302" s="483">
        <v>0</v>
      </c>
      <c r="X302" s="476">
        <v>1</v>
      </c>
      <c r="Y302" s="476">
        <v>0</v>
      </c>
      <c r="Z302" s="476">
        <v>0</v>
      </c>
      <c r="AA302" s="646" t="s">
        <v>1000</v>
      </c>
      <c r="AB302" s="647">
        <f t="shared" si="21"/>
        <v>25</v>
      </c>
      <c r="AC302" s="647">
        <f t="shared" si="22"/>
        <v>4</v>
      </c>
      <c r="AD302" s="648" t="str">
        <f>IF(AB302="","",VLOOKUP(AB302,trancheage[],2,TRUE))</f>
        <v>Moins de 30 ans</v>
      </c>
      <c r="AE302" s="648" t="str">
        <f>IFERROR(VLOOKUP(AC302,trancheanciennete[],2,TRUE),"")</f>
        <v>2 : 5-9</v>
      </c>
      <c r="AF302" s="649" t="str">
        <f>IF(T302&gt;0,VLOOKUP(T302,Trancheremuneration[],2,TRUE),"")</f>
        <v>4: 20 000-23 000</v>
      </c>
      <c r="AG302" s="650">
        <f t="shared" si="23"/>
        <v>40436.835351802809</v>
      </c>
      <c r="AH302" s="631" t="str">
        <f t="shared" si="24"/>
        <v>catégorie 1</v>
      </c>
      <c r="AI302" s="631"/>
    </row>
    <row r="303" spans="1:35" ht="14">
      <c r="A303" t="s">
        <v>862</v>
      </c>
      <c r="B303" s="645" t="s">
        <v>47</v>
      </c>
      <c r="C303" s="651">
        <v>37054</v>
      </c>
      <c r="D303" s="652">
        <v>42599</v>
      </c>
      <c r="E303" s="473" t="s">
        <v>502</v>
      </c>
      <c r="F303" s="1029" t="s">
        <v>3</v>
      </c>
      <c r="G303" s="472" t="s">
        <v>395</v>
      </c>
      <c r="H303" s="472" t="s">
        <v>393</v>
      </c>
      <c r="I303" s="474" t="s">
        <v>22</v>
      </c>
      <c r="J303" s="474" t="s">
        <v>28</v>
      </c>
      <c r="K303" s="475" t="s">
        <v>43</v>
      </c>
      <c r="L303" s="861" t="str">
        <f t="shared" si="20"/>
        <v>salarié</v>
      </c>
      <c r="M303" s="485" t="s">
        <v>42</v>
      </c>
      <c r="N303" s="485" t="s">
        <v>1</v>
      </c>
      <c r="O303" s="486">
        <v>1</v>
      </c>
      <c r="P303" s="481" t="s">
        <v>59</v>
      </c>
      <c r="Q303" s="482" t="s">
        <v>30</v>
      </c>
      <c r="R303" s="478">
        <v>0</v>
      </c>
      <c r="S303" s="479">
        <v>14</v>
      </c>
      <c r="T303" s="1">
        <v>30760</v>
      </c>
      <c r="U303" s="656">
        <v>24337.593439781922</v>
      </c>
      <c r="V303" s="479">
        <v>250</v>
      </c>
      <c r="W303" s="483">
        <v>0</v>
      </c>
      <c r="X303" s="476">
        <v>0</v>
      </c>
      <c r="Y303" s="476">
        <v>1</v>
      </c>
      <c r="Z303" s="476">
        <v>0</v>
      </c>
      <c r="AA303" s="646" t="s">
        <v>1000</v>
      </c>
      <c r="AB303" s="647">
        <f t="shared" si="21"/>
        <v>19</v>
      </c>
      <c r="AC303" s="647">
        <f t="shared" si="22"/>
        <v>4</v>
      </c>
      <c r="AD303" s="648" t="str">
        <f>IF(AB303="","",VLOOKUP(AB303,trancheage[],2,TRUE))</f>
        <v>Moins de 30 ans</v>
      </c>
      <c r="AE303" s="648" t="str">
        <f>IFERROR(VLOOKUP(AC303,trancheanciennete[],2,TRUE),"")</f>
        <v>2 : 5-9</v>
      </c>
      <c r="AF303" s="649" t="str">
        <f>IF(T303&gt;0,VLOOKUP(T303,Trancheremuneration[],2,TRUE),"")</f>
        <v>5 : + de 23 000</v>
      </c>
      <c r="AG303" s="650">
        <f t="shared" si="23"/>
        <v>24587.593439781922</v>
      </c>
      <c r="AH303" s="631" t="str">
        <f t="shared" si="24"/>
        <v>catégorie 2</v>
      </c>
      <c r="AI303" s="631"/>
    </row>
    <row r="304" spans="1:35" ht="14">
      <c r="A304" t="s">
        <v>582</v>
      </c>
      <c r="B304" s="645" t="s">
        <v>27</v>
      </c>
      <c r="C304" s="651">
        <v>36074</v>
      </c>
      <c r="D304" s="652">
        <v>42606</v>
      </c>
      <c r="E304" s="473" t="s">
        <v>505</v>
      </c>
      <c r="F304" s="1029" t="s">
        <v>3</v>
      </c>
      <c r="G304" s="472" t="s">
        <v>395</v>
      </c>
      <c r="H304" s="472" t="s">
        <v>392</v>
      </c>
      <c r="I304" s="474" t="s">
        <v>22</v>
      </c>
      <c r="J304" s="474" t="s">
        <v>28</v>
      </c>
      <c r="K304" s="475" t="s">
        <v>43</v>
      </c>
      <c r="L304" s="861" t="str">
        <f t="shared" si="20"/>
        <v>salarié</v>
      </c>
      <c r="M304" s="485" t="s">
        <v>48</v>
      </c>
      <c r="N304" s="485" t="s">
        <v>1</v>
      </c>
      <c r="O304" s="486">
        <v>1</v>
      </c>
      <c r="P304" s="481" t="s">
        <v>59</v>
      </c>
      <c r="Q304" s="482" t="s">
        <v>33</v>
      </c>
      <c r="R304" s="478">
        <v>1</v>
      </c>
      <c r="S304" s="479">
        <v>14</v>
      </c>
      <c r="T304" s="1">
        <v>22000</v>
      </c>
      <c r="U304" s="656">
        <v>19430.668181131787</v>
      </c>
      <c r="V304" s="479">
        <v>250</v>
      </c>
      <c r="W304" s="483">
        <v>1</v>
      </c>
      <c r="X304" s="476">
        <v>0</v>
      </c>
      <c r="Y304" s="476">
        <v>0</v>
      </c>
      <c r="Z304" s="476">
        <v>0</v>
      </c>
      <c r="AA304" s="646" t="s">
        <v>1000</v>
      </c>
      <c r="AB304" s="647">
        <f t="shared" si="21"/>
        <v>21</v>
      </c>
      <c r="AC304" s="647">
        <f t="shared" si="22"/>
        <v>4</v>
      </c>
      <c r="AD304" s="648" t="str">
        <f>IF(AB304="","",VLOOKUP(AB304,trancheage[],2,TRUE))</f>
        <v>Moins de 30 ans</v>
      </c>
      <c r="AE304" s="648" t="str">
        <f>IFERROR(VLOOKUP(AC304,trancheanciennete[],2,TRUE),"")</f>
        <v>2 : 5-9</v>
      </c>
      <c r="AF304" s="649" t="str">
        <f>IF(T304&gt;0,VLOOKUP(T304,Trancheremuneration[],2,TRUE),"")</f>
        <v>4: 20 000-23 000</v>
      </c>
      <c r="AG304" s="650">
        <f t="shared" si="23"/>
        <v>19680.668181131787</v>
      </c>
      <c r="AH304" s="631" t="str">
        <f t="shared" si="24"/>
        <v>catégorie 1</v>
      </c>
      <c r="AI304" s="631"/>
    </row>
    <row r="305" spans="1:35" ht="14">
      <c r="A305" t="s">
        <v>601</v>
      </c>
      <c r="B305" s="645" t="s">
        <v>27</v>
      </c>
      <c r="C305" s="651">
        <v>35280</v>
      </c>
      <c r="D305" s="652">
        <v>42635</v>
      </c>
      <c r="E305" s="473" t="s">
        <v>501</v>
      </c>
      <c r="F305" s="1029" t="s">
        <v>3</v>
      </c>
      <c r="G305" s="472" t="s">
        <v>395</v>
      </c>
      <c r="H305" s="472" t="s">
        <v>392</v>
      </c>
      <c r="I305" s="474" t="s">
        <v>22</v>
      </c>
      <c r="J305" s="474" t="s">
        <v>28</v>
      </c>
      <c r="K305" s="475" t="s">
        <v>56</v>
      </c>
      <c r="L305" s="861" t="str">
        <f t="shared" si="20"/>
        <v>salarié</v>
      </c>
      <c r="M305" s="485" t="s">
        <v>48</v>
      </c>
      <c r="N305" s="485" t="s">
        <v>1</v>
      </c>
      <c r="O305" s="486">
        <v>0.5</v>
      </c>
      <c r="P305" s="481" t="s">
        <v>59</v>
      </c>
      <c r="Q305" s="482" t="s">
        <v>31</v>
      </c>
      <c r="R305" s="478">
        <v>0</v>
      </c>
      <c r="S305" s="479">
        <v>0</v>
      </c>
      <c r="T305" s="1">
        <v>17200</v>
      </c>
      <c r="U305" s="656">
        <v>65239.797824614652</v>
      </c>
      <c r="V305" s="479">
        <v>250</v>
      </c>
      <c r="W305" s="483">
        <v>0</v>
      </c>
      <c r="X305" s="476">
        <v>1</v>
      </c>
      <c r="Y305" s="476">
        <v>0</v>
      </c>
      <c r="Z305" s="476">
        <v>0</v>
      </c>
      <c r="AA305" s="646" t="s">
        <v>1000</v>
      </c>
      <c r="AB305" s="647">
        <f t="shared" si="21"/>
        <v>24</v>
      </c>
      <c r="AC305" s="647">
        <f t="shared" si="22"/>
        <v>3</v>
      </c>
      <c r="AD305" s="648" t="str">
        <f>IF(AB305="","",VLOOKUP(AB305,trancheage[],2,TRUE))</f>
        <v>Moins de 30 ans</v>
      </c>
      <c r="AE305" s="648" t="str">
        <f>IFERROR(VLOOKUP(AC305,trancheanciennete[],2,TRUE),"")</f>
        <v>1 : 1-4</v>
      </c>
      <c r="AF305" s="649" t="str">
        <f>IF(T305&gt;0,VLOOKUP(T305,Trancheremuneration[],2,TRUE),"")</f>
        <v>3:17 000-20 000</v>
      </c>
      <c r="AG305" s="650">
        <f t="shared" si="23"/>
        <v>98109.696736921978</v>
      </c>
      <c r="AH305" s="631" t="str">
        <f t="shared" si="24"/>
        <v>catégorie 1</v>
      </c>
      <c r="AI305" s="631"/>
    </row>
    <row r="306" spans="1:35" ht="14">
      <c r="A306" t="s">
        <v>863</v>
      </c>
      <c r="B306" s="645" t="s">
        <v>47</v>
      </c>
      <c r="C306" s="651">
        <v>30133</v>
      </c>
      <c r="D306" s="652">
        <v>42657</v>
      </c>
      <c r="E306" s="473" t="s">
        <v>501</v>
      </c>
      <c r="F306" s="1029" t="s">
        <v>3</v>
      </c>
      <c r="G306" s="472" t="s">
        <v>396</v>
      </c>
      <c r="H306" s="472" t="s">
        <v>392</v>
      </c>
      <c r="I306" s="474" t="s">
        <v>22</v>
      </c>
      <c r="J306" s="474" t="s">
        <v>28</v>
      </c>
      <c r="K306" s="475" t="s">
        <v>35</v>
      </c>
      <c r="L306" s="861" t="str">
        <f t="shared" si="20"/>
        <v>salarié</v>
      </c>
      <c r="M306" s="485" t="s">
        <v>48</v>
      </c>
      <c r="N306" s="485" t="s">
        <v>1</v>
      </c>
      <c r="O306" s="486">
        <v>1</v>
      </c>
      <c r="P306" s="481" t="s">
        <v>59</v>
      </c>
      <c r="Q306" s="482" t="s">
        <v>31</v>
      </c>
      <c r="R306" s="478">
        <v>0</v>
      </c>
      <c r="S306" s="479">
        <v>0</v>
      </c>
      <c r="T306" s="1">
        <v>61000</v>
      </c>
      <c r="U306" s="656">
        <v>16355.195562830715</v>
      </c>
      <c r="V306" s="479">
        <v>250</v>
      </c>
      <c r="W306" s="483">
        <v>0</v>
      </c>
      <c r="X306" s="476">
        <v>1</v>
      </c>
      <c r="Y306" s="476">
        <v>0</v>
      </c>
      <c r="Z306" s="476">
        <v>0</v>
      </c>
      <c r="AA306" s="646" t="s">
        <v>1000</v>
      </c>
      <c r="AB306" s="647">
        <f t="shared" si="21"/>
        <v>38</v>
      </c>
      <c r="AC306" s="647">
        <f t="shared" si="22"/>
        <v>3</v>
      </c>
      <c r="AD306" s="648" t="str">
        <f>IF(AB306="","",VLOOKUP(AB306,trancheage[],2,TRUE))</f>
        <v>30 à 39 ans</v>
      </c>
      <c r="AE306" s="648" t="str">
        <f>IFERROR(VLOOKUP(AC306,trancheanciennete[],2,TRUE),"")</f>
        <v>1 : 1-4</v>
      </c>
      <c r="AF306" s="649" t="str">
        <f>IF(T306&gt;0,VLOOKUP(T306,Trancheremuneration[],2,TRUE),"")</f>
        <v>5 : + de 23 000</v>
      </c>
      <c r="AG306" s="650">
        <f t="shared" si="23"/>
        <v>16605.195562830715</v>
      </c>
      <c r="AH306" s="631" t="str">
        <f t="shared" si="24"/>
        <v>catégorie 1</v>
      </c>
      <c r="AI306" s="631"/>
    </row>
    <row r="307" spans="1:35" ht="14">
      <c r="A307" t="s">
        <v>864</v>
      </c>
      <c r="B307" s="645" t="s">
        <v>47</v>
      </c>
      <c r="C307" s="651">
        <v>34453</v>
      </c>
      <c r="D307" s="652">
        <v>42674</v>
      </c>
      <c r="E307" s="473" t="s">
        <v>505</v>
      </c>
      <c r="F307" s="1029" t="s">
        <v>50</v>
      </c>
      <c r="G307" s="472" t="s">
        <v>397</v>
      </c>
      <c r="H307" s="472" t="s">
        <v>392</v>
      </c>
      <c r="I307" s="474" t="s">
        <v>22</v>
      </c>
      <c r="J307" s="474" t="s">
        <v>28</v>
      </c>
      <c r="K307" s="475" t="s">
        <v>43</v>
      </c>
      <c r="L307" s="861" t="str">
        <f t="shared" si="20"/>
        <v>salarié</v>
      </c>
      <c r="M307" s="485" t="s">
        <v>48</v>
      </c>
      <c r="N307" s="485" t="s">
        <v>1</v>
      </c>
      <c r="O307" s="486">
        <v>0.8</v>
      </c>
      <c r="P307" s="481" t="s">
        <v>59</v>
      </c>
      <c r="Q307" s="482" t="s">
        <v>30</v>
      </c>
      <c r="R307" s="478">
        <v>1</v>
      </c>
      <c r="S307" s="479">
        <v>21</v>
      </c>
      <c r="T307" s="1">
        <v>19120</v>
      </c>
      <c r="U307" s="656">
        <v>28553.368070922246</v>
      </c>
      <c r="V307" s="479">
        <v>250</v>
      </c>
      <c r="W307" s="483">
        <v>1</v>
      </c>
      <c r="X307" s="476">
        <v>0</v>
      </c>
      <c r="Y307" s="476">
        <v>0</v>
      </c>
      <c r="Z307" s="476">
        <v>0</v>
      </c>
      <c r="AA307" s="646" t="s">
        <v>1000</v>
      </c>
      <c r="AB307" s="647">
        <f t="shared" si="21"/>
        <v>26</v>
      </c>
      <c r="AC307" s="647">
        <f t="shared" si="22"/>
        <v>3</v>
      </c>
      <c r="AD307" s="648" t="str">
        <f>IF(AB307="","",VLOOKUP(AB307,trancheage[],2,TRUE))</f>
        <v>Moins de 30 ans</v>
      </c>
      <c r="AE307" s="648" t="str">
        <f>IFERROR(VLOOKUP(AC307,trancheanciennete[],2,TRUE),"")</f>
        <v>1 : 1-4</v>
      </c>
      <c r="AF307" s="649" t="str">
        <f>IF(T307&gt;0,VLOOKUP(T307,Trancheremuneration[],2,TRUE),"")</f>
        <v>3:17 000-20 000</v>
      </c>
      <c r="AG307" s="650">
        <f t="shared" si="23"/>
        <v>34514.041685106691</v>
      </c>
      <c r="AH307" s="631" t="str">
        <f t="shared" si="24"/>
        <v>catégorie 1</v>
      </c>
      <c r="AI307" s="631"/>
    </row>
    <row r="308" spans="1:35" ht="14">
      <c r="A308" t="s">
        <v>865</v>
      </c>
      <c r="B308" s="645" t="s">
        <v>27</v>
      </c>
      <c r="C308" s="651">
        <v>26115</v>
      </c>
      <c r="D308" s="652">
        <v>42677</v>
      </c>
      <c r="E308" s="473" t="s">
        <v>501</v>
      </c>
      <c r="F308" s="1029" t="s">
        <v>50</v>
      </c>
      <c r="G308" s="472" t="s">
        <v>398</v>
      </c>
      <c r="H308" s="472" t="s">
        <v>394</v>
      </c>
      <c r="I308" s="474" t="s">
        <v>22</v>
      </c>
      <c r="J308" s="474" t="s">
        <v>29</v>
      </c>
      <c r="K308" s="475" t="s">
        <v>43</v>
      </c>
      <c r="L308" s="861" t="str">
        <f t="shared" si="20"/>
        <v>salarié</v>
      </c>
      <c r="M308" s="485" t="s">
        <v>48</v>
      </c>
      <c r="N308" s="485" t="s">
        <v>1</v>
      </c>
      <c r="O308" s="486">
        <v>0.8</v>
      </c>
      <c r="P308" s="481" t="s">
        <v>59</v>
      </c>
      <c r="Q308" s="482" t="s">
        <v>32</v>
      </c>
      <c r="R308" s="478">
        <v>0</v>
      </c>
      <c r="S308" s="479">
        <v>0</v>
      </c>
      <c r="T308" s="1">
        <v>34360</v>
      </c>
      <c r="U308" s="656">
        <v>44152.783778367717</v>
      </c>
      <c r="V308" s="479">
        <v>250</v>
      </c>
      <c r="W308" s="483">
        <v>0</v>
      </c>
      <c r="X308" s="476">
        <v>1</v>
      </c>
      <c r="Y308" s="476">
        <v>0</v>
      </c>
      <c r="Z308" s="476">
        <v>0</v>
      </c>
      <c r="AA308" s="646" t="s">
        <v>1000</v>
      </c>
      <c r="AB308" s="647">
        <f t="shared" si="21"/>
        <v>49</v>
      </c>
      <c r="AC308" s="647">
        <f t="shared" si="22"/>
        <v>3</v>
      </c>
      <c r="AD308" s="648" t="str">
        <f>IF(AB308="","",VLOOKUP(AB308,trancheage[],2,TRUE))</f>
        <v>50 ans et plus</v>
      </c>
      <c r="AE308" s="648" t="str">
        <f>IFERROR(VLOOKUP(AC308,trancheanciennete[],2,TRUE),"")</f>
        <v>1 : 1-4</v>
      </c>
      <c r="AF308" s="649" t="str">
        <f>IF(T308&gt;0,VLOOKUP(T308,Trancheremuneration[],2,TRUE),"")</f>
        <v>5 : + de 23 000</v>
      </c>
      <c r="AG308" s="650">
        <f t="shared" si="23"/>
        <v>53233.340534041257</v>
      </c>
      <c r="AH308" s="631" t="str">
        <f t="shared" si="24"/>
        <v>catégorie 3</v>
      </c>
      <c r="AI308" s="631"/>
    </row>
    <row r="309" spans="1:35" ht="14">
      <c r="A309" t="s">
        <v>866</v>
      </c>
      <c r="B309" s="645" t="s">
        <v>27</v>
      </c>
      <c r="C309" s="651">
        <v>28741</v>
      </c>
      <c r="D309" s="652">
        <v>42691</v>
      </c>
      <c r="E309" s="473" t="s">
        <v>501</v>
      </c>
      <c r="F309" s="1029" t="s">
        <v>3</v>
      </c>
      <c r="G309" s="472" t="s">
        <v>399</v>
      </c>
      <c r="H309" s="472" t="s">
        <v>392</v>
      </c>
      <c r="I309" s="474" t="s">
        <v>22</v>
      </c>
      <c r="J309" s="474" t="s">
        <v>29</v>
      </c>
      <c r="K309" s="475" t="s">
        <v>43</v>
      </c>
      <c r="L309" s="861" t="str">
        <f t="shared" si="20"/>
        <v>salarié</v>
      </c>
      <c r="M309" s="485" t="s">
        <v>48</v>
      </c>
      <c r="N309" s="485" t="s">
        <v>0</v>
      </c>
      <c r="O309" s="484">
        <v>0.8</v>
      </c>
      <c r="P309" s="476" t="s">
        <v>58</v>
      </c>
      <c r="Q309" s="477" t="s">
        <v>30</v>
      </c>
      <c r="R309" s="478">
        <v>0</v>
      </c>
      <c r="S309" s="479">
        <v>7</v>
      </c>
      <c r="T309" s="1">
        <v>51280</v>
      </c>
      <c r="U309" s="656">
        <v>19841.042579528996</v>
      </c>
      <c r="V309" s="479">
        <v>100</v>
      </c>
      <c r="W309" s="483">
        <v>0</v>
      </c>
      <c r="X309" s="476">
        <v>0</v>
      </c>
      <c r="Y309" s="476">
        <v>1</v>
      </c>
      <c r="Z309" s="476">
        <v>0</v>
      </c>
      <c r="AA309" s="646" t="s">
        <v>1000</v>
      </c>
      <c r="AB309" s="647">
        <f t="shared" si="21"/>
        <v>41</v>
      </c>
      <c r="AC309" s="647">
        <f t="shared" si="22"/>
        <v>3</v>
      </c>
      <c r="AD309" s="648" t="str">
        <f>IF(AB309="","",VLOOKUP(AB309,trancheage[],2,TRUE))</f>
        <v>40 à 49 ans</v>
      </c>
      <c r="AE309" s="648" t="str">
        <f>IFERROR(VLOOKUP(AC309,trancheanciennete[],2,TRUE),"")</f>
        <v>1 : 1-4</v>
      </c>
      <c r="AF309" s="649" t="str">
        <f>IF(T309&gt;0,VLOOKUP(T309,Trancheremuneration[],2,TRUE),"")</f>
        <v>5 : + de 23 000</v>
      </c>
      <c r="AG309" s="650">
        <f t="shared" si="23"/>
        <v>23909.251095434793</v>
      </c>
      <c r="AH309" s="631" t="str">
        <f t="shared" si="24"/>
        <v>catégorie 1</v>
      </c>
      <c r="AI309" s="631"/>
    </row>
    <row r="310" spans="1:35" ht="14">
      <c r="A310" t="s">
        <v>867</v>
      </c>
      <c r="B310" s="645" t="s">
        <v>27</v>
      </c>
      <c r="C310" s="651">
        <v>30465</v>
      </c>
      <c r="D310" s="652">
        <v>42693</v>
      </c>
      <c r="E310" s="473" t="s">
        <v>505</v>
      </c>
      <c r="F310" s="1029" t="s">
        <v>3</v>
      </c>
      <c r="G310" s="472" t="s">
        <v>395</v>
      </c>
      <c r="H310" s="472" t="s">
        <v>392</v>
      </c>
      <c r="I310" s="474" t="s">
        <v>22</v>
      </c>
      <c r="J310" s="474" t="s">
        <v>29</v>
      </c>
      <c r="K310" s="475" t="s">
        <v>43</v>
      </c>
      <c r="L310" s="861" t="str">
        <f t="shared" si="20"/>
        <v>salarié</v>
      </c>
      <c r="M310" s="485" t="s">
        <v>48</v>
      </c>
      <c r="N310" s="485" t="s">
        <v>0</v>
      </c>
      <c r="O310" s="484">
        <v>0.5</v>
      </c>
      <c r="P310" s="476" t="s">
        <v>58</v>
      </c>
      <c r="Q310" s="477" t="s">
        <v>30</v>
      </c>
      <c r="R310" s="478">
        <v>0</v>
      </c>
      <c r="S310" s="479">
        <v>7</v>
      </c>
      <c r="T310" s="1">
        <v>24280</v>
      </c>
      <c r="U310" s="656">
        <v>8959.0759426308414</v>
      </c>
      <c r="V310" s="479">
        <v>250</v>
      </c>
      <c r="W310" s="483">
        <v>0</v>
      </c>
      <c r="X310" s="476">
        <v>0</v>
      </c>
      <c r="Y310" s="476">
        <v>1</v>
      </c>
      <c r="Z310" s="476">
        <v>0</v>
      </c>
      <c r="AA310" s="646" t="s">
        <v>1000</v>
      </c>
      <c r="AB310" s="647">
        <f t="shared" si="21"/>
        <v>37</v>
      </c>
      <c r="AC310" s="647">
        <f t="shared" si="22"/>
        <v>3</v>
      </c>
      <c r="AD310" s="648" t="str">
        <f>IF(AB310="","",VLOOKUP(AB310,trancheage[],2,TRUE))</f>
        <v>30 à 39 ans</v>
      </c>
      <c r="AE310" s="648" t="str">
        <f>IFERROR(VLOOKUP(AC310,trancheanciennete[],2,TRUE),"")</f>
        <v>1 : 1-4</v>
      </c>
      <c r="AF310" s="649" t="str">
        <f>IF(T310&gt;0,VLOOKUP(T310,Trancheremuneration[],2,TRUE),"")</f>
        <v>5 : + de 23 000</v>
      </c>
      <c r="AG310" s="650">
        <f t="shared" si="23"/>
        <v>13688.613913946261</v>
      </c>
      <c r="AH310" s="631" t="str">
        <f t="shared" si="24"/>
        <v>catégorie 1</v>
      </c>
      <c r="AI310" s="631"/>
    </row>
    <row r="311" spans="1:35" ht="14">
      <c r="A311" t="s">
        <v>868</v>
      </c>
      <c r="B311" s="645" t="s">
        <v>47</v>
      </c>
      <c r="C311" s="651">
        <v>29491</v>
      </c>
      <c r="D311" s="652">
        <v>42698</v>
      </c>
      <c r="E311" s="473" t="s">
        <v>505</v>
      </c>
      <c r="F311" s="1029" t="s">
        <v>50</v>
      </c>
      <c r="G311" s="472" t="s">
        <v>395</v>
      </c>
      <c r="H311" s="472" t="s">
        <v>392</v>
      </c>
      <c r="I311" s="474" t="s">
        <v>23</v>
      </c>
      <c r="J311" s="474" t="s">
        <v>18</v>
      </c>
      <c r="K311" s="475" t="s">
        <v>304</v>
      </c>
      <c r="L311" s="861" t="str">
        <f t="shared" si="20"/>
        <v>salarié</v>
      </c>
      <c r="M311" s="485" t="s">
        <v>48</v>
      </c>
      <c r="N311" s="485" t="s">
        <v>1</v>
      </c>
      <c r="O311" s="486">
        <v>1</v>
      </c>
      <c r="P311" s="481" t="s">
        <v>58</v>
      </c>
      <c r="Q311" s="482" t="s">
        <v>33</v>
      </c>
      <c r="R311" s="478">
        <v>1</v>
      </c>
      <c r="S311" s="479">
        <v>14</v>
      </c>
      <c r="T311" s="1">
        <v>10960</v>
      </c>
      <c r="U311" s="656">
        <v>37366.457711833384</v>
      </c>
      <c r="V311" s="479">
        <v>250</v>
      </c>
      <c r="W311" s="483">
        <v>1</v>
      </c>
      <c r="X311" s="476">
        <v>0</v>
      </c>
      <c r="Y311" s="476">
        <v>0</v>
      </c>
      <c r="Z311" s="476">
        <v>0</v>
      </c>
      <c r="AA311" s="646" t="s">
        <v>1000</v>
      </c>
      <c r="AB311" s="647">
        <f t="shared" si="21"/>
        <v>39</v>
      </c>
      <c r="AC311" s="647">
        <f t="shared" si="22"/>
        <v>3</v>
      </c>
      <c r="AD311" s="648" t="str">
        <f>IF(AB311="","",VLOOKUP(AB311,trancheage[],2,TRUE))</f>
        <v>40 à 49 ans</v>
      </c>
      <c r="AE311" s="648" t="str">
        <f>IFERROR(VLOOKUP(AC311,trancheanciennete[],2,TRUE),"")</f>
        <v>1 : 1-4</v>
      </c>
      <c r="AF311" s="649" t="str">
        <f>IF(T311&gt;0,VLOOKUP(T311,Trancheremuneration[],2,TRUE),"")</f>
        <v>1:7 000-14 000</v>
      </c>
      <c r="AG311" s="650">
        <f t="shared" si="23"/>
        <v>37616.457711833384</v>
      </c>
      <c r="AH311" s="631" t="str">
        <f t="shared" si="24"/>
        <v>catégorie 1</v>
      </c>
      <c r="AI311" s="631"/>
    </row>
    <row r="312" spans="1:35" ht="14">
      <c r="A312" t="s">
        <v>869</v>
      </c>
      <c r="B312" s="645" t="s">
        <v>47</v>
      </c>
      <c r="C312" s="651">
        <v>33005</v>
      </c>
      <c r="D312" s="652">
        <v>42700</v>
      </c>
      <c r="E312" s="473" t="s">
        <v>501</v>
      </c>
      <c r="F312" s="1029" t="s">
        <v>3</v>
      </c>
      <c r="G312" s="472" t="s">
        <v>396</v>
      </c>
      <c r="H312" s="472" t="s">
        <v>392</v>
      </c>
      <c r="I312" s="474" t="s">
        <v>22</v>
      </c>
      <c r="J312" s="474" t="s">
        <v>29</v>
      </c>
      <c r="K312" s="475" t="s">
        <v>301</v>
      </c>
      <c r="L312" s="861" t="str">
        <f t="shared" si="20"/>
        <v>salarié</v>
      </c>
      <c r="M312" s="485" t="s">
        <v>48</v>
      </c>
      <c r="N312" s="485" t="s">
        <v>0</v>
      </c>
      <c r="O312" s="486">
        <v>0.8</v>
      </c>
      <c r="P312" s="481" t="s">
        <v>59</v>
      </c>
      <c r="Q312" s="482" t="s">
        <v>31</v>
      </c>
      <c r="R312" s="478">
        <v>1</v>
      </c>
      <c r="S312" s="479">
        <v>7</v>
      </c>
      <c r="T312" s="1">
        <v>41800</v>
      </c>
      <c r="U312" s="656">
        <v>18301.102004723507</v>
      </c>
      <c r="V312" s="479">
        <v>250</v>
      </c>
      <c r="W312" s="483">
        <v>1</v>
      </c>
      <c r="X312" s="476">
        <v>1</v>
      </c>
      <c r="Y312" s="476">
        <v>1</v>
      </c>
      <c r="Z312" s="476">
        <v>0</v>
      </c>
      <c r="AA312" s="646" t="s">
        <v>1000</v>
      </c>
      <c r="AB312" s="647">
        <f t="shared" si="21"/>
        <v>30</v>
      </c>
      <c r="AC312" s="647">
        <f t="shared" si="22"/>
        <v>3</v>
      </c>
      <c r="AD312" s="648" t="str">
        <f>IF(AB312="","",VLOOKUP(AB312,trancheage[],2,TRUE))</f>
        <v>30 à 39 ans</v>
      </c>
      <c r="AE312" s="648" t="str">
        <f>IFERROR(VLOOKUP(AC312,trancheanciennete[],2,TRUE),"")</f>
        <v>1 : 1-4</v>
      </c>
      <c r="AF312" s="649" t="str">
        <f>IF(T312&gt;0,VLOOKUP(T312,Trancheremuneration[],2,TRUE),"")</f>
        <v>5 : + de 23 000</v>
      </c>
      <c r="AG312" s="650">
        <f t="shared" si="23"/>
        <v>22211.322405668208</v>
      </c>
      <c r="AH312" s="631" t="str">
        <f t="shared" si="24"/>
        <v>catégorie 1</v>
      </c>
      <c r="AI312" s="631"/>
    </row>
    <row r="313" spans="1:35" ht="14">
      <c r="A313" t="s">
        <v>571</v>
      </c>
      <c r="B313" s="645" t="s">
        <v>47</v>
      </c>
      <c r="C313" s="651">
        <v>37138</v>
      </c>
      <c r="D313" s="652">
        <v>42703</v>
      </c>
      <c r="E313" s="473" t="s">
        <v>501</v>
      </c>
      <c r="F313" s="1029" t="s">
        <v>3</v>
      </c>
      <c r="G313" s="472" t="s">
        <v>395</v>
      </c>
      <c r="H313" s="472" t="s">
        <v>393</v>
      </c>
      <c r="I313" s="474" t="s">
        <v>22</v>
      </c>
      <c r="J313" s="474" t="s">
        <v>29</v>
      </c>
      <c r="K313" s="475" t="s">
        <v>43</v>
      </c>
      <c r="L313" s="861" t="str">
        <f t="shared" si="20"/>
        <v>salarié</v>
      </c>
      <c r="M313" s="485" t="s">
        <v>48</v>
      </c>
      <c r="N313" s="485" t="s">
        <v>0</v>
      </c>
      <c r="O313" s="486">
        <v>1</v>
      </c>
      <c r="P313" s="481" t="s">
        <v>59</v>
      </c>
      <c r="Q313" s="482" t="s">
        <v>30</v>
      </c>
      <c r="R313" s="478">
        <v>0</v>
      </c>
      <c r="S313" s="479">
        <v>7</v>
      </c>
      <c r="T313" s="1">
        <v>18400</v>
      </c>
      <c r="U313" s="656">
        <v>16403.52478845045</v>
      </c>
      <c r="V313" s="479">
        <v>250</v>
      </c>
      <c r="W313" s="483">
        <v>0</v>
      </c>
      <c r="X313" s="476">
        <v>0</v>
      </c>
      <c r="Y313" s="476">
        <v>0</v>
      </c>
      <c r="Z313" s="476">
        <v>1</v>
      </c>
      <c r="AA313" s="646" t="s">
        <v>1000</v>
      </c>
      <c r="AB313" s="647">
        <f t="shared" si="21"/>
        <v>18</v>
      </c>
      <c r="AC313" s="647">
        <f t="shared" si="22"/>
        <v>3</v>
      </c>
      <c r="AD313" s="648" t="str">
        <f>IF(AB313="","",VLOOKUP(AB313,trancheage[],2,TRUE))</f>
        <v>Moins de 30 ans</v>
      </c>
      <c r="AE313" s="648" t="str">
        <f>IFERROR(VLOOKUP(AC313,trancheanciennete[],2,TRUE),"")</f>
        <v>1 : 1-4</v>
      </c>
      <c r="AF313" s="649" t="str">
        <f>IF(T313&gt;0,VLOOKUP(T313,Trancheremuneration[],2,TRUE),"")</f>
        <v>3:17 000-20 000</v>
      </c>
      <c r="AG313" s="650">
        <f t="shared" si="23"/>
        <v>16653.52478845045</v>
      </c>
      <c r="AH313" s="631" t="str">
        <f t="shared" si="24"/>
        <v>catégorie 2</v>
      </c>
      <c r="AI313" s="631"/>
    </row>
    <row r="314" spans="1:35" ht="14">
      <c r="A314" t="s">
        <v>870</v>
      </c>
      <c r="B314" s="645" t="s">
        <v>27</v>
      </c>
      <c r="C314" s="651">
        <v>36967</v>
      </c>
      <c r="D314" s="652">
        <v>42733</v>
      </c>
      <c r="E314" s="473" t="s">
        <v>504</v>
      </c>
      <c r="F314" s="1029" t="s">
        <v>3</v>
      </c>
      <c r="G314" s="472" t="s">
        <v>397</v>
      </c>
      <c r="H314" s="472" t="s">
        <v>394</v>
      </c>
      <c r="I314" s="474" t="s">
        <v>22</v>
      </c>
      <c r="J314" s="474" t="s">
        <v>29</v>
      </c>
      <c r="K314" s="475" t="s">
        <v>43</v>
      </c>
      <c r="L314" s="861" t="str">
        <f t="shared" si="20"/>
        <v>salarié</v>
      </c>
      <c r="M314" s="485" t="s">
        <v>42</v>
      </c>
      <c r="N314" s="485" t="s">
        <v>1</v>
      </c>
      <c r="O314" s="486">
        <v>1</v>
      </c>
      <c r="P314" s="481" t="s">
        <v>58</v>
      </c>
      <c r="Q314" s="482" t="s">
        <v>30</v>
      </c>
      <c r="R314" s="478">
        <v>0</v>
      </c>
      <c r="S314" s="479">
        <v>7</v>
      </c>
      <c r="T314" s="1">
        <v>20320</v>
      </c>
      <c r="U314" s="656">
        <v>25490.715815212352</v>
      </c>
      <c r="V314" s="479">
        <v>500</v>
      </c>
      <c r="W314" s="483">
        <v>0</v>
      </c>
      <c r="X314" s="476">
        <v>0</v>
      </c>
      <c r="Y314" s="476">
        <v>1</v>
      </c>
      <c r="Z314" s="476">
        <v>1</v>
      </c>
      <c r="AA314" s="646" t="s">
        <v>1000</v>
      </c>
      <c r="AB314" s="647">
        <f t="shared" si="21"/>
        <v>19</v>
      </c>
      <c r="AC314" s="647">
        <f t="shared" si="22"/>
        <v>3</v>
      </c>
      <c r="AD314" s="648" t="str">
        <f>IF(AB314="","",VLOOKUP(AB314,trancheage[],2,TRUE))</f>
        <v>Moins de 30 ans</v>
      </c>
      <c r="AE314" s="648" t="str">
        <f>IFERROR(VLOOKUP(AC314,trancheanciennete[],2,TRUE),"")</f>
        <v>1 : 1-4</v>
      </c>
      <c r="AF314" s="649" t="str">
        <f>IF(T314&gt;0,VLOOKUP(T314,Trancheremuneration[],2,TRUE),"")</f>
        <v>4: 20 000-23 000</v>
      </c>
      <c r="AG314" s="650">
        <f t="shared" si="23"/>
        <v>25990.715815212352</v>
      </c>
      <c r="AH314" s="631" t="str">
        <f t="shared" si="24"/>
        <v>catégorie 3</v>
      </c>
      <c r="AI314" s="631"/>
    </row>
    <row r="315" spans="1:35" ht="14">
      <c r="A315" t="s">
        <v>608</v>
      </c>
      <c r="B315" s="645" t="s">
        <v>27</v>
      </c>
      <c r="C315" s="651">
        <v>34441</v>
      </c>
      <c r="D315" s="652">
        <v>42762</v>
      </c>
      <c r="E315" s="473" t="s">
        <v>501</v>
      </c>
      <c r="F315" s="1029" t="s">
        <v>50</v>
      </c>
      <c r="G315" s="472" t="s">
        <v>398</v>
      </c>
      <c r="H315" s="472" t="s">
        <v>393</v>
      </c>
      <c r="I315" s="474" t="s">
        <v>23</v>
      </c>
      <c r="J315" s="474" t="s">
        <v>18</v>
      </c>
      <c r="K315" s="475" t="s">
        <v>36</v>
      </c>
      <c r="L315" s="861" t="str">
        <f t="shared" si="20"/>
        <v>salarié</v>
      </c>
      <c r="M315" s="485" t="s">
        <v>48</v>
      </c>
      <c r="N315" s="485" t="s">
        <v>0</v>
      </c>
      <c r="O315" s="486">
        <v>1</v>
      </c>
      <c r="P315" s="481" t="s">
        <v>59</v>
      </c>
      <c r="Q315" s="482" t="s">
        <v>33</v>
      </c>
      <c r="R315" s="478">
        <v>1</v>
      </c>
      <c r="S315" s="479">
        <v>7</v>
      </c>
      <c r="T315" s="1">
        <v>21760</v>
      </c>
      <c r="U315" s="656">
        <v>19351.693647972817</v>
      </c>
      <c r="V315" s="479">
        <v>250</v>
      </c>
      <c r="W315" s="483">
        <v>1</v>
      </c>
      <c r="X315" s="476">
        <v>0</v>
      </c>
      <c r="Y315" s="476">
        <v>1</v>
      </c>
      <c r="Z315" s="476">
        <v>0</v>
      </c>
      <c r="AA315" s="646" t="s">
        <v>1000</v>
      </c>
      <c r="AB315" s="647">
        <f t="shared" si="21"/>
        <v>26</v>
      </c>
      <c r="AC315" s="647">
        <f t="shared" si="22"/>
        <v>3</v>
      </c>
      <c r="AD315" s="648" t="str">
        <f>IF(AB315="","",VLOOKUP(AB315,trancheage[],2,TRUE))</f>
        <v>Moins de 30 ans</v>
      </c>
      <c r="AE315" s="648" t="str">
        <f>IFERROR(VLOOKUP(AC315,trancheanciennete[],2,TRUE),"")</f>
        <v>1 : 1-4</v>
      </c>
      <c r="AF315" s="649" t="str">
        <f>IF(T315&gt;0,VLOOKUP(T315,Trancheremuneration[],2,TRUE),"")</f>
        <v>4: 20 000-23 000</v>
      </c>
      <c r="AG315" s="650">
        <f t="shared" si="23"/>
        <v>19601.693647972817</v>
      </c>
      <c r="AH315" s="631" t="str">
        <f t="shared" si="24"/>
        <v>catégorie 2</v>
      </c>
      <c r="AI315" s="631"/>
    </row>
    <row r="316" spans="1:35" ht="14">
      <c r="A316" t="s">
        <v>871</v>
      </c>
      <c r="B316" s="645" t="s">
        <v>27</v>
      </c>
      <c r="C316" s="651">
        <v>36949</v>
      </c>
      <c r="D316" s="652">
        <v>42799</v>
      </c>
      <c r="E316" s="473" t="s">
        <v>501</v>
      </c>
      <c r="F316" s="1029" t="s">
        <v>3</v>
      </c>
      <c r="G316" s="472" t="s">
        <v>399</v>
      </c>
      <c r="H316" s="472" t="s">
        <v>394</v>
      </c>
      <c r="I316" s="474" t="s">
        <v>22</v>
      </c>
      <c r="J316" s="474" t="s">
        <v>29</v>
      </c>
      <c r="K316" s="475" t="s">
        <v>43</v>
      </c>
      <c r="L316" s="861" t="str">
        <f t="shared" si="20"/>
        <v>salarié</v>
      </c>
      <c r="M316" s="485" t="s">
        <v>40</v>
      </c>
      <c r="N316" s="485" t="s">
        <v>0</v>
      </c>
      <c r="O316" s="486">
        <v>1</v>
      </c>
      <c r="P316" s="481" t="s">
        <v>58</v>
      </c>
      <c r="Q316" s="482" t="s">
        <v>33</v>
      </c>
      <c r="R316" s="478">
        <v>1</v>
      </c>
      <c r="S316" s="479">
        <v>28</v>
      </c>
      <c r="T316" s="1">
        <v>24280</v>
      </c>
      <c r="U316" s="656">
        <v>40705.97371992001</v>
      </c>
      <c r="V316" s="479">
        <v>250</v>
      </c>
      <c r="W316" s="483">
        <v>1</v>
      </c>
      <c r="X316" s="476">
        <v>0</v>
      </c>
      <c r="Y316" s="476">
        <v>1</v>
      </c>
      <c r="Z316" s="476">
        <v>0</v>
      </c>
      <c r="AA316" s="646" t="s">
        <v>1000</v>
      </c>
      <c r="AB316" s="647">
        <f t="shared" si="21"/>
        <v>19</v>
      </c>
      <c r="AC316" s="647">
        <f t="shared" si="22"/>
        <v>3</v>
      </c>
      <c r="AD316" s="648" t="str">
        <f>IF(AB316="","",VLOOKUP(AB316,trancheage[],2,TRUE))</f>
        <v>Moins de 30 ans</v>
      </c>
      <c r="AE316" s="648" t="str">
        <f>IFERROR(VLOOKUP(AC316,trancheanciennete[],2,TRUE),"")</f>
        <v>1 : 1-4</v>
      </c>
      <c r="AF316" s="649" t="str">
        <f>IF(T316&gt;0,VLOOKUP(T316,Trancheremuneration[],2,TRUE),"")</f>
        <v>5 : + de 23 000</v>
      </c>
      <c r="AG316" s="650">
        <f t="shared" si="23"/>
        <v>40955.97371992001</v>
      </c>
      <c r="AH316" s="631" t="str">
        <f t="shared" si="24"/>
        <v>catégorie 3</v>
      </c>
      <c r="AI316" s="631"/>
    </row>
    <row r="317" spans="1:35" ht="14">
      <c r="A317" t="s">
        <v>872</v>
      </c>
      <c r="B317" s="645" t="s">
        <v>27</v>
      </c>
      <c r="C317" s="651">
        <v>37159</v>
      </c>
      <c r="D317" s="652">
        <v>42812</v>
      </c>
      <c r="E317" s="473" t="s">
        <v>501</v>
      </c>
      <c r="F317" s="1029" t="s">
        <v>50</v>
      </c>
      <c r="G317" s="472" t="s">
        <v>395</v>
      </c>
      <c r="H317" s="472" t="s">
        <v>392</v>
      </c>
      <c r="I317" s="474" t="s">
        <v>22</v>
      </c>
      <c r="J317" s="474" t="s">
        <v>28</v>
      </c>
      <c r="K317" s="475" t="s">
        <v>43</v>
      </c>
      <c r="L317" s="861" t="str">
        <f t="shared" si="20"/>
        <v>salarié</v>
      </c>
      <c r="M317" s="483" t="s">
        <v>48</v>
      </c>
      <c r="N317" s="483" t="s">
        <v>0</v>
      </c>
      <c r="O317" s="486">
        <v>1</v>
      </c>
      <c r="P317" s="481" t="s">
        <v>58</v>
      </c>
      <c r="Q317" s="482" t="s">
        <v>33</v>
      </c>
      <c r="R317" s="478">
        <v>1</v>
      </c>
      <c r="S317" s="479">
        <v>14</v>
      </c>
      <c r="T317" s="1">
        <v>36400</v>
      </c>
      <c r="U317" s="656">
        <v>21482.696396953514</v>
      </c>
      <c r="V317" s="479">
        <v>250</v>
      </c>
      <c r="W317" s="483">
        <v>1</v>
      </c>
      <c r="X317" s="476">
        <v>0</v>
      </c>
      <c r="Y317" s="476">
        <v>0</v>
      </c>
      <c r="Z317" s="476">
        <v>0</v>
      </c>
      <c r="AA317" s="646" t="s">
        <v>1000</v>
      </c>
      <c r="AB317" s="647">
        <f t="shared" si="21"/>
        <v>18</v>
      </c>
      <c r="AC317" s="647">
        <f t="shared" si="22"/>
        <v>3</v>
      </c>
      <c r="AD317" s="648" t="str">
        <f>IF(AB317="","",VLOOKUP(AB317,trancheage[],2,TRUE))</f>
        <v>Moins de 30 ans</v>
      </c>
      <c r="AE317" s="648" t="str">
        <f>IFERROR(VLOOKUP(AC317,trancheanciennete[],2,TRUE),"")</f>
        <v>1 : 1-4</v>
      </c>
      <c r="AF317" s="649" t="str">
        <f>IF(T317&gt;0,VLOOKUP(T317,Trancheremuneration[],2,TRUE),"")</f>
        <v>5 : + de 23 000</v>
      </c>
      <c r="AG317" s="650">
        <f t="shared" si="23"/>
        <v>21732.696396953514</v>
      </c>
      <c r="AH317" s="631" t="str">
        <f t="shared" si="24"/>
        <v>catégorie 1</v>
      </c>
      <c r="AI317" s="631"/>
    </row>
    <row r="318" spans="1:35" ht="14">
      <c r="A318" t="s">
        <v>873</v>
      </c>
      <c r="B318" s="645" t="s">
        <v>27</v>
      </c>
      <c r="C318" s="651">
        <v>36440</v>
      </c>
      <c r="D318" s="652">
        <v>42812</v>
      </c>
      <c r="E318" s="473" t="s">
        <v>504</v>
      </c>
      <c r="F318" s="1029" t="s">
        <v>50</v>
      </c>
      <c r="G318" s="472" t="s">
        <v>395</v>
      </c>
      <c r="H318" s="472" t="s">
        <v>392</v>
      </c>
      <c r="I318" s="474" t="s">
        <v>22</v>
      </c>
      <c r="J318" s="474" t="s">
        <v>28</v>
      </c>
      <c r="K318" s="475" t="s">
        <v>43</v>
      </c>
      <c r="L318" s="861" t="str">
        <f t="shared" si="20"/>
        <v>salarié</v>
      </c>
      <c r="M318" s="483" t="s">
        <v>48</v>
      </c>
      <c r="N318" s="483" t="s">
        <v>0</v>
      </c>
      <c r="O318" s="486">
        <v>1</v>
      </c>
      <c r="P318" s="481" t="s">
        <v>58</v>
      </c>
      <c r="Q318" s="482" t="s">
        <v>31</v>
      </c>
      <c r="R318" s="478">
        <v>0</v>
      </c>
      <c r="S318" s="479">
        <v>7</v>
      </c>
      <c r="T318" s="1">
        <v>19600</v>
      </c>
      <c r="U318" s="656">
        <v>55231.13249129249</v>
      </c>
      <c r="V318" s="479">
        <v>500</v>
      </c>
      <c r="W318" s="483">
        <v>0</v>
      </c>
      <c r="X318" s="476">
        <v>1</v>
      </c>
      <c r="Y318" s="476">
        <v>0</v>
      </c>
      <c r="Z318" s="476">
        <v>0</v>
      </c>
      <c r="AA318" s="646" t="s">
        <v>1000</v>
      </c>
      <c r="AB318" s="647">
        <f t="shared" si="21"/>
        <v>20</v>
      </c>
      <c r="AC318" s="647">
        <f t="shared" si="22"/>
        <v>3</v>
      </c>
      <c r="AD318" s="648" t="str">
        <f>IF(AB318="","",VLOOKUP(AB318,trancheage[],2,TRUE))</f>
        <v>Moins de 30 ans</v>
      </c>
      <c r="AE318" s="648" t="str">
        <f>IFERROR(VLOOKUP(AC318,trancheanciennete[],2,TRUE),"")</f>
        <v>1 : 1-4</v>
      </c>
      <c r="AF318" s="649" t="str">
        <f>IF(T318&gt;0,VLOOKUP(T318,Trancheremuneration[],2,TRUE),"")</f>
        <v>3:17 000-20 000</v>
      </c>
      <c r="AG318" s="650">
        <f t="shared" si="23"/>
        <v>55731.13249129249</v>
      </c>
      <c r="AH318" s="631" t="str">
        <f t="shared" si="24"/>
        <v>catégorie 1</v>
      </c>
      <c r="AI318" s="631"/>
    </row>
    <row r="319" spans="1:35" ht="14">
      <c r="A319" t="s">
        <v>874</v>
      </c>
      <c r="B319" s="645" t="s">
        <v>27</v>
      </c>
      <c r="C319" s="651">
        <v>25350</v>
      </c>
      <c r="D319" s="652">
        <v>42821</v>
      </c>
      <c r="E319" s="473" t="s">
        <v>503</v>
      </c>
      <c r="F319" s="1029" t="s">
        <v>3</v>
      </c>
      <c r="G319" s="472" t="s">
        <v>396</v>
      </c>
      <c r="H319" s="472" t="s">
        <v>394</v>
      </c>
      <c r="I319" s="474" t="s">
        <v>23</v>
      </c>
      <c r="J319" s="474" t="s">
        <v>18</v>
      </c>
      <c r="K319" s="475" t="s">
        <v>306</v>
      </c>
      <c r="L319" s="861" t="str">
        <f t="shared" si="20"/>
        <v>salarié</v>
      </c>
      <c r="M319" s="485" t="s">
        <v>48</v>
      </c>
      <c r="N319" s="485" t="s">
        <v>0</v>
      </c>
      <c r="O319" s="486">
        <v>1</v>
      </c>
      <c r="P319" s="481" t="s">
        <v>58</v>
      </c>
      <c r="Q319" s="482" t="s">
        <v>31</v>
      </c>
      <c r="R319" s="478">
        <v>1</v>
      </c>
      <c r="S319" s="479">
        <v>0</v>
      </c>
      <c r="T319" s="1">
        <v>49840</v>
      </c>
      <c r="U319" s="656">
        <v>28565.104428200088</v>
      </c>
      <c r="V319" s="479">
        <v>500</v>
      </c>
      <c r="W319" s="483">
        <v>1</v>
      </c>
      <c r="X319" s="476">
        <v>1</v>
      </c>
      <c r="Y319" s="476">
        <v>0</v>
      </c>
      <c r="Z319" s="476">
        <v>0</v>
      </c>
      <c r="AA319" s="646" t="s">
        <v>1000</v>
      </c>
      <c r="AB319" s="647">
        <f t="shared" si="21"/>
        <v>51</v>
      </c>
      <c r="AC319" s="647">
        <f t="shared" si="22"/>
        <v>3</v>
      </c>
      <c r="AD319" s="648" t="str">
        <f>IF(AB319="","",VLOOKUP(AB319,trancheage[],2,TRUE))</f>
        <v>50 ans et plus</v>
      </c>
      <c r="AE319" s="648" t="str">
        <f>IFERROR(VLOOKUP(AC319,trancheanciennete[],2,TRUE),"")</f>
        <v>1 : 1-4</v>
      </c>
      <c r="AF319" s="649" t="str">
        <f>IF(T319&gt;0,VLOOKUP(T319,Trancheremuneration[],2,TRUE),"")</f>
        <v>5 : + de 23 000</v>
      </c>
      <c r="AG319" s="650">
        <f t="shared" si="23"/>
        <v>29065.104428200088</v>
      </c>
      <c r="AH319" s="631" t="str">
        <f t="shared" si="24"/>
        <v>catégorie 3</v>
      </c>
      <c r="AI319" s="631"/>
    </row>
    <row r="320" spans="1:35" ht="14">
      <c r="A320" t="s">
        <v>875</v>
      </c>
      <c r="B320" s="645" t="s">
        <v>47</v>
      </c>
      <c r="C320" s="651">
        <v>35406</v>
      </c>
      <c r="D320" s="652">
        <v>42875</v>
      </c>
      <c r="E320" s="473" t="s">
        <v>501</v>
      </c>
      <c r="F320" s="1029" t="s">
        <v>3</v>
      </c>
      <c r="G320" s="472" t="s">
        <v>397</v>
      </c>
      <c r="H320" s="472" t="s">
        <v>394</v>
      </c>
      <c r="I320" s="474" t="s">
        <v>22</v>
      </c>
      <c r="J320" s="474" t="s">
        <v>28</v>
      </c>
      <c r="K320" s="475" t="s">
        <v>43</v>
      </c>
      <c r="L320" s="861" t="str">
        <f t="shared" si="20"/>
        <v>salarié</v>
      </c>
      <c r="M320" s="483" t="s">
        <v>48</v>
      </c>
      <c r="N320" s="483" t="s">
        <v>0</v>
      </c>
      <c r="O320" s="486">
        <v>0.8</v>
      </c>
      <c r="P320" s="481" t="s">
        <v>59</v>
      </c>
      <c r="Q320" s="482" t="s">
        <v>32</v>
      </c>
      <c r="R320" s="478">
        <v>0</v>
      </c>
      <c r="S320" s="479">
        <v>0</v>
      </c>
      <c r="T320" s="1">
        <v>25000</v>
      </c>
      <c r="U320" s="656">
        <v>22153.990747239281</v>
      </c>
      <c r="V320" s="479">
        <v>250</v>
      </c>
      <c r="W320" s="483">
        <v>0</v>
      </c>
      <c r="X320" s="476">
        <v>0</v>
      </c>
      <c r="Y320" s="476">
        <v>0</v>
      </c>
      <c r="Z320" s="476">
        <v>0</v>
      </c>
      <c r="AA320" s="646" t="s">
        <v>1000</v>
      </c>
      <c r="AB320" s="647">
        <f t="shared" si="21"/>
        <v>23</v>
      </c>
      <c r="AC320" s="647">
        <f t="shared" si="22"/>
        <v>3</v>
      </c>
      <c r="AD320" s="648" t="str">
        <f>IF(AB320="","",VLOOKUP(AB320,trancheage[],2,TRUE))</f>
        <v>Moins de 30 ans</v>
      </c>
      <c r="AE320" s="648" t="str">
        <f>IFERROR(VLOOKUP(AC320,trancheanciennete[],2,TRUE),"")</f>
        <v>1 : 1-4</v>
      </c>
      <c r="AF320" s="649" t="str">
        <f>IF(T320&gt;0,VLOOKUP(T320,Trancheremuneration[],2,TRUE),"")</f>
        <v>5 : + de 23 000</v>
      </c>
      <c r="AG320" s="650">
        <f t="shared" si="23"/>
        <v>26834.788896687136</v>
      </c>
      <c r="AH320" s="631" t="str">
        <f t="shared" si="24"/>
        <v>catégorie 3</v>
      </c>
      <c r="AI320" s="631"/>
    </row>
    <row r="321" spans="1:35" ht="14">
      <c r="A321" t="s">
        <v>876</v>
      </c>
      <c r="B321" s="645" t="s">
        <v>47</v>
      </c>
      <c r="C321" s="651">
        <v>31446</v>
      </c>
      <c r="D321" s="652">
        <v>42883</v>
      </c>
      <c r="E321" s="473" t="s">
        <v>501</v>
      </c>
      <c r="F321" s="1029" t="s">
        <v>3</v>
      </c>
      <c r="G321" s="472" t="s">
        <v>398</v>
      </c>
      <c r="H321" s="472" t="s">
        <v>393</v>
      </c>
      <c r="I321" s="474" t="s">
        <v>23</v>
      </c>
      <c r="J321" s="474" t="s">
        <v>18</v>
      </c>
      <c r="K321" s="475" t="s">
        <v>11</v>
      </c>
      <c r="L321" s="861" t="str">
        <f t="shared" si="20"/>
        <v>salarié</v>
      </c>
      <c r="M321" s="485" t="s">
        <v>48</v>
      </c>
      <c r="N321" s="485" t="s">
        <v>0</v>
      </c>
      <c r="O321" s="486">
        <v>0.8</v>
      </c>
      <c r="P321" s="481" t="s">
        <v>59</v>
      </c>
      <c r="Q321" s="482" t="s">
        <v>32</v>
      </c>
      <c r="R321" s="478">
        <v>0</v>
      </c>
      <c r="S321" s="479">
        <v>0</v>
      </c>
      <c r="T321" s="1">
        <v>22720</v>
      </c>
      <c r="U321" s="656">
        <v>29615.722811342021</v>
      </c>
      <c r="V321" s="479">
        <v>250</v>
      </c>
      <c r="W321" s="483">
        <v>0</v>
      </c>
      <c r="X321" s="476">
        <v>1</v>
      </c>
      <c r="Y321" s="476">
        <v>0</v>
      </c>
      <c r="Z321" s="476">
        <v>0</v>
      </c>
      <c r="AA321" s="646" t="s">
        <v>1000</v>
      </c>
      <c r="AB321" s="647">
        <f t="shared" si="21"/>
        <v>34</v>
      </c>
      <c r="AC321" s="647">
        <f t="shared" si="22"/>
        <v>3</v>
      </c>
      <c r="AD321" s="648" t="str">
        <f>IF(AB321="","",VLOOKUP(AB321,trancheage[],2,TRUE))</f>
        <v>30 à 39 ans</v>
      </c>
      <c r="AE321" s="648" t="str">
        <f>IFERROR(VLOOKUP(AC321,trancheanciennete[],2,TRUE),"")</f>
        <v>1 : 1-4</v>
      </c>
      <c r="AF321" s="649" t="str">
        <f>IF(T321&gt;0,VLOOKUP(T321,Trancheremuneration[],2,TRUE),"")</f>
        <v>4: 20 000-23 000</v>
      </c>
      <c r="AG321" s="650">
        <f t="shared" si="23"/>
        <v>35788.867373610425</v>
      </c>
      <c r="AH321" s="631" t="str">
        <f t="shared" si="24"/>
        <v>catégorie 2</v>
      </c>
      <c r="AI321" s="631"/>
    </row>
    <row r="322" spans="1:35" ht="14">
      <c r="A322" t="s">
        <v>877</v>
      </c>
      <c r="B322" s="645" t="s">
        <v>27</v>
      </c>
      <c r="C322" s="651">
        <v>25186</v>
      </c>
      <c r="D322" s="652">
        <v>42921</v>
      </c>
      <c r="E322" s="473" t="s">
        <v>501</v>
      </c>
      <c r="F322" s="1029" t="s">
        <v>50</v>
      </c>
      <c r="G322" s="472" t="s">
        <v>399</v>
      </c>
      <c r="H322" s="472" t="s">
        <v>394</v>
      </c>
      <c r="I322" s="474" t="s">
        <v>23</v>
      </c>
      <c r="J322" s="474" t="s">
        <v>18</v>
      </c>
      <c r="K322" s="475" t="s">
        <v>44</v>
      </c>
      <c r="L322" s="861" t="str">
        <f t="shared" si="20"/>
        <v>salarié</v>
      </c>
      <c r="M322" s="485" t="s">
        <v>42</v>
      </c>
      <c r="N322" s="485" t="s">
        <v>0</v>
      </c>
      <c r="O322" s="486">
        <v>1</v>
      </c>
      <c r="P322" s="481" t="s">
        <v>59</v>
      </c>
      <c r="Q322" s="482" t="s">
        <v>30</v>
      </c>
      <c r="R322" s="478">
        <v>0</v>
      </c>
      <c r="S322" s="479">
        <v>14</v>
      </c>
      <c r="T322" s="1">
        <v>34720</v>
      </c>
      <c r="U322" s="656">
        <v>63297.413159511823</v>
      </c>
      <c r="V322" s="479">
        <v>250</v>
      </c>
      <c r="W322" s="483">
        <v>0</v>
      </c>
      <c r="X322" s="476">
        <v>0</v>
      </c>
      <c r="Y322" s="476">
        <v>1</v>
      </c>
      <c r="Z322" s="476">
        <v>0</v>
      </c>
      <c r="AA322" s="646" t="s">
        <v>1000</v>
      </c>
      <c r="AB322" s="647">
        <f t="shared" si="21"/>
        <v>51</v>
      </c>
      <c r="AC322" s="647">
        <f t="shared" si="22"/>
        <v>3</v>
      </c>
      <c r="AD322" s="648" t="str">
        <f>IF(AB322="","",VLOOKUP(AB322,trancheage[],2,TRUE))</f>
        <v>50 ans et plus</v>
      </c>
      <c r="AE322" s="648" t="str">
        <f>IFERROR(VLOOKUP(AC322,trancheanciennete[],2,TRUE),"")</f>
        <v>1 : 1-4</v>
      </c>
      <c r="AF322" s="649" t="str">
        <f>IF(T322&gt;0,VLOOKUP(T322,Trancheremuneration[],2,TRUE),"")</f>
        <v>5 : + de 23 000</v>
      </c>
      <c r="AG322" s="650">
        <f t="shared" si="23"/>
        <v>63547.413159511823</v>
      </c>
      <c r="AH322" s="631" t="str">
        <f t="shared" si="24"/>
        <v>catégorie 3</v>
      </c>
      <c r="AI322" s="631"/>
    </row>
    <row r="323" spans="1:35" ht="14">
      <c r="A323" t="s">
        <v>878</v>
      </c>
      <c r="B323" s="645" t="s">
        <v>47</v>
      </c>
      <c r="C323" s="651">
        <v>36257</v>
      </c>
      <c r="D323" s="652">
        <v>42930</v>
      </c>
      <c r="E323" s="473" t="s">
        <v>502</v>
      </c>
      <c r="F323" s="1029" t="s">
        <v>3</v>
      </c>
      <c r="G323" s="472" t="s">
        <v>395</v>
      </c>
      <c r="H323" s="472" t="s">
        <v>392</v>
      </c>
      <c r="I323" s="474" t="s">
        <v>22</v>
      </c>
      <c r="J323" s="474" t="s">
        <v>28</v>
      </c>
      <c r="K323" s="475" t="s">
        <v>43</v>
      </c>
      <c r="L323" s="861" t="str">
        <f t="shared" si="20"/>
        <v>salarié</v>
      </c>
      <c r="M323" s="485" t="s">
        <v>48</v>
      </c>
      <c r="N323" s="485" t="s">
        <v>1</v>
      </c>
      <c r="O323" s="486">
        <v>0.8</v>
      </c>
      <c r="P323" s="481" t="s">
        <v>59</v>
      </c>
      <c r="Q323" s="482" t="s">
        <v>30</v>
      </c>
      <c r="R323" s="478">
        <v>0</v>
      </c>
      <c r="S323" s="479">
        <v>14</v>
      </c>
      <c r="T323" s="1">
        <v>61000</v>
      </c>
      <c r="U323" s="656">
        <v>34396.47936039092</v>
      </c>
      <c r="V323" s="479">
        <v>250</v>
      </c>
      <c r="W323" s="483">
        <v>0</v>
      </c>
      <c r="X323" s="476">
        <v>0</v>
      </c>
      <c r="Y323" s="476">
        <v>0</v>
      </c>
      <c r="Z323" s="476">
        <v>0</v>
      </c>
      <c r="AA323" s="646" t="s">
        <v>1000</v>
      </c>
      <c r="AB323" s="647">
        <f t="shared" si="21"/>
        <v>21</v>
      </c>
      <c r="AC323" s="647">
        <f t="shared" si="22"/>
        <v>3</v>
      </c>
      <c r="AD323" s="648" t="str">
        <f>IF(AB323="","",VLOOKUP(AB323,trancheage[],2,TRUE))</f>
        <v>Moins de 30 ans</v>
      </c>
      <c r="AE323" s="648" t="str">
        <f>IFERROR(VLOOKUP(AC323,trancheanciennete[],2,TRUE),"")</f>
        <v>1 : 1-4</v>
      </c>
      <c r="AF323" s="649" t="str">
        <f>IF(T323&gt;0,VLOOKUP(T323,Trancheremuneration[],2,TRUE),"")</f>
        <v>5 : + de 23 000</v>
      </c>
      <c r="AG323" s="650">
        <f t="shared" si="23"/>
        <v>41525.775232469103</v>
      </c>
      <c r="AH323" s="631" t="str">
        <f t="shared" si="24"/>
        <v>catégorie 1</v>
      </c>
      <c r="AI323" s="631"/>
    </row>
    <row r="324" spans="1:35" ht="14">
      <c r="A324" t="s">
        <v>879</v>
      </c>
      <c r="B324" s="645" t="s">
        <v>27</v>
      </c>
      <c r="C324" s="651">
        <v>37135</v>
      </c>
      <c r="D324" s="652">
        <v>42932</v>
      </c>
      <c r="E324" s="473" t="s">
        <v>505</v>
      </c>
      <c r="F324" s="1029" t="s">
        <v>3</v>
      </c>
      <c r="G324" s="472" t="s">
        <v>395</v>
      </c>
      <c r="H324" s="472" t="s">
        <v>392</v>
      </c>
      <c r="I324" s="474" t="s">
        <v>22</v>
      </c>
      <c r="J324" s="474" t="s">
        <v>28</v>
      </c>
      <c r="K324" s="475" t="s">
        <v>43</v>
      </c>
      <c r="L324" s="861" t="str">
        <f t="shared" si="20"/>
        <v>salarié</v>
      </c>
      <c r="M324" s="485" t="s">
        <v>42</v>
      </c>
      <c r="N324" s="485" t="s">
        <v>1</v>
      </c>
      <c r="O324" s="486">
        <v>0.5</v>
      </c>
      <c r="P324" s="481" t="s">
        <v>59</v>
      </c>
      <c r="Q324" s="482" t="s">
        <v>31</v>
      </c>
      <c r="R324" s="478">
        <v>0</v>
      </c>
      <c r="S324" s="479">
        <v>0</v>
      </c>
      <c r="T324" s="1">
        <v>28600</v>
      </c>
      <c r="U324" s="656">
        <v>31455.664534208503</v>
      </c>
      <c r="V324" s="479">
        <v>250</v>
      </c>
      <c r="W324" s="483">
        <v>0</v>
      </c>
      <c r="X324" s="476">
        <v>1</v>
      </c>
      <c r="Y324" s="476">
        <v>0</v>
      </c>
      <c r="Z324" s="476">
        <v>0</v>
      </c>
      <c r="AA324" s="646" t="s">
        <v>1000</v>
      </c>
      <c r="AB324" s="647">
        <f t="shared" si="21"/>
        <v>19</v>
      </c>
      <c r="AC324" s="647">
        <f t="shared" si="22"/>
        <v>3</v>
      </c>
      <c r="AD324" s="648" t="str">
        <f>IF(AB324="","",VLOOKUP(AB324,trancheage[],2,TRUE))</f>
        <v>Moins de 30 ans</v>
      </c>
      <c r="AE324" s="648" t="str">
        <f>IFERROR(VLOOKUP(AC324,trancheanciennete[],2,TRUE),"")</f>
        <v>1 : 1-4</v>
      </c>
      <c r="AF324" s="649" t="str">
        <f>IF(T324&gt;0,VLOOKUP(T324,Trancheremuneration[],2,TRUE),"")</f>
        <v>5 : + de 23 000</v>
      </c>
      <c r="AG324" s="650">
        <f t="shared" si="23"/>
        <v>47433.496801312751</v>
      </c>
      <c r="AH324" s="631" t="str">
        <f t="shared" si="24"/>
        <v>catégorie 1</v>
      </c>
      <c r="AI324" s="631"/>
    </row>
    <row r="325" spans="1:35" ht="14">
      <c r="A325" t="s">
        <v>880</v>
      </c>
      <c r="B325" s="645" t="s">
        <v>27</v>
      </c>
      <c r="C325" s="651">
        <v>35655</v>
      </c>
      <c r="D325" s="652">
        <v>42936</v>
      </c>
      <c r="E325" s="473" t="s">
        <v>501</v>
      </c>
      <c r="F325" s="1029" t="s">
        <v>3</v>
      </c>
      <c r="G325" s="472" t="s">
        <v>396</v>
      </c>
      <c r="H325" s="472" t="s">
        <v>394</v>
      </c>
      <c r="I325" s="474" t="s">
        <v>22</v>
      </c>
      <c r="J325" s="474" t="s">
        <v>28</v>
      </c>
      <c r="K325" s="475" t="s">
        <v>43</v>
      </c>
      <c r="L325" s="861" t="str">
        <f t="shared" si="20"/>
        <v>salarié</v>
      </c>
      <c r="M325" s="485" t="s">
        <v>48</v>
      </c>
      <c r="N325" s="485" t="s">
        <v>1</v>
      </c>
      <c r="O325" s="486">
        <v>1</v>
      </c>
      <c r="P325" s="481" t="s">
        <v>59</v>
      </c>
      <c r="Q325" s="482" t="s">
        <v>31</v>
      </c>
      <c r="R325" s="478">
        <v>0</v>
      </c>
      <c r="S325" s="479">
        <v>0</v>
      </c>
      <c r="T325" s="1">
        <v>37840</v>
      </c>
      <c r="U325" s="656">
        <v>25871.461468719062</v>
      </c>
      <c r="V325" s="479">
        <v>100</v>
      </c>
      <c r="W325" s="483">
        <v>0</v>
      </c>
      <c r="X325" s="476">
        <v>1</v>
      </c>
      <c r="Y325" s="476">
        <v>0</v>
      </c>
      <c r="Z325" s="476">
        <v>0</v>
      </c>
      <c r="AA325" s="646" t="s">
        <v>1000</v>
      </c>
      <c r="AB325" s="647">
        <f t="shared" si="21"/>
        <v>23</v>
      </c>
      <c r="AC325" s="647">
        <f t="shared" si="22"/>
        <v>3</v>
      </c>
      <c r="AD325" s="648" t="str">
        <f>IF(AB325="","",VLOOKUP(AB325,trancheage[],2,TRUE))</f>
        <v>Moins de 30 ans</v>
      </c>
      <c r="AE325" s="648" t="str">
        <f>IFERROR(VLOOKUP(AC325,trancheanciennete[],2,TRUE),"")</f>
        <v>1 : 1-4</v>
      </c>
      <c r="AF325" s="649" t="str">
        <f>IF(T325&gt;0,VLOOKUP(T325,Trancheremuneration[],2,TRUE),"")</f>
        <v>5 : + de 23 000</v>
      </c>
      <c r="AG325" s="650">
        <f t="shared" si="23"/>
        <v>25971.461468719062</v>
      </c>
      <c r="AH325" s="631" t="str">
        <f t="shared" si="24"/>
        <v>catégorie 3</v>
      </c>
      <c r="AI325" s="631"/>
    </row>
    <row r="326" spans="1:35" ht="14">
      <c r="A326" t="s">
        <v>881</v>
      </c>
      <c r="B326" s="645" t="s">
        <v>47</v>
      </c>
      <c r="C326" s="651">
        <v>37102</v>
      </c>
      <c r="D326" s="652">
        <v>42943</v>
      </c>
      <c r="E326" s="473" t="s">
        <v>501</v>
      </c>
      <c r="F326" s="1029" t="s">
        <v>3</v>
      </c>
      <c r="G326" s="472" t="s">
        <v>397</v>
      </c>
      <c r="H326" s="472" t="s">
        <v>394</v>
      </c>
      <c r="I326" s="474" t="s">
        <v>22</v>
      </c>
      <c r="J326" s="474" t="s">
        <v>28</v>
      </c>
      <c r="K326" s="475" t="s">
        <v>56</v>
      </c>
      <c r="L326" s="861" t="str">
        <f t="shared" si="20"/>
        <v>salarié</v>
      </c>
      <c r="M326" s="485" t="s">
        <v>48</v>
      </c>
      <c r="N326" s="485" t="s">
        <v>1</v>
      </c>
      <c r="O326" s="486">
        <v>0.8</v>
      </c>
      <c r="P326" s="481" t="s">
        <v>59</v>
      </c>
      <c r="Q326" s="482" t="s">
        <v>30</v>
      </c>
      <c r="R326" s="478">
        <v>1</v>
      </c>
      <c r="S326" s="479">
        <v>21</v>
      </c>
      <c r="T326" s="1">
        <v>23440</v>
      </c>
      <c r="U326" s="656">
        <v>35783.501524842031</v>
      </c>
      <c r="V326" s="479">
        <v>250</v>
      </c>
      <c r="W326" s="483">
        <v>1</v>
      </c>
      <c r="X326" s="476">
        <v>0</v>
      </c>
      <c r="Y326" s="476">
        <v>0</v>
      </c>
      <c r="Z326" s="476">
        <v>0</v>
      </c>
      <c r="AA326" s="646" t="s">
        <v>1000</v>
      </c>
      <c r="AB326" s="647">
        <f t="shared" si="21"/>
        <v>19</v>
      </c>
      <c r="AC326" s="647">
        <f t="shared" si="22"/>
        <v>3</v>
      </c>
      <c r="AD326" s="648" t="str">
        <f>IF(AB326="","",VLOOKUP(AB326,trancheage[],2,TRUE))</f>
        <v>Moins de 30 ans</v>
      </c>
      <c r="AE326" s="648" t="str">
        <f>IFERROR(VLOOKUP(AC326,trancheanciennete[],2,TRUE),"")</f>
        <v>1 : 1-4</v>
      </c>
      <c r="AF326" s="649" t="str">
        <f>IF(T326&gt;0,VLOOKUP(T326,Trancheremuneration[],2,TRUE),"")</f>
        <v>5 : + de 23 000</v>
      </c>
      <c r="AG326" s="650">
        <f t="shared" si="23"/>
        <v>43190.201829810438</v>
      </c>
      <c r="AH326" s="631" t="str">
        <f t="shared" si="24"/>
        <v>catégorie 3</v>
      </c>
      <c r="AI326" s="631"/>
    </row>
    <row r="327" spans="1:35" ht="14">
      <c r="A327" t="s">
        <v>586</v>
      </c>
      <c r="B327" s="645" t="s">
        <v>27</v>
      </c>
      <c r="C327" s="651">
        <v>33559</v>
      </c>
      <c r="D327" s="652">
        <v>42944</v>
      </c>
      <c r="E327" s="473" t="s">
        <v>505</v>
      </c>
      <c r="F327" s="1029" t="s">
        <v>50</v>
      </c>
      <c r="G327" s="472" t="s">
        <v>398</v>
      </c>
      <c r="H327" s="472" t="s">
        <v>393</v>
      </c>
      <c r="I327" s="474" t="s">
        <v>22</v>
      </c>
      <c r="J327" s="474" t="s">
        <v>28</v>
      </c>
      <c r="K327" s="475" t="s">
        <v>35</v>
      </c>
      <c r="L327" s="861" t="str">
        <f t="shared" si="20"/>
        <v>salarié</v>
      </c>
      <c r="M327" s="485" t="s">
        <v>48</v>
      </c>
      <c r="N327" s="485" t="s">
        <v>1</v>
      </c>
      <c r="O327" s="486">
        <v>0.8</v>
      </c>
      <c r="P327" s="481" t="s">
        <v>59</v>
      </c>
      <c r="Q327" s="482" t="s">
        <v>32</v>
      </c>
      <c r="R327" s="478">
        <v>0</v>
      </c>
      <c r="S327" s="479">
        <v>0</v>
      </c>
      <c r="T327" s="1">
        <v>37240</v>
      </c>
      <c r="U327" s="656">
        <v>47150.209801328267</v>
      </c>
      <c r="V327" s="479">
        <v>100</v>
      </c>
      <c r="W327" s="483">
        <v>0</v>
      </c>
      <c r="X327" s="476">
        <v>1</v>
      </c>
      <c r="Y327" s="476">
        <v>0</v>
      </c>
      <c r="Z327" s="476">
        <v>0</v>
      </c>
      <c r="AA327" s="646" t="s">
        <v>1000</v>
      </c>
      <c r="AB327" s="647">
        <f t="shared" si="21"/>
        <v>28</v>
      </c>
      <c r="AC327" s="647">
        <f t="shared" si="22"/>
        <v>3</v>
      </c>
      <c r="AD327" s="648" t="str">
        <f>IF(AB327="","",VLOOKUP(AB327,trancheage[],2,TRUE))</f>
        <v>Moins de 30 ans</v>
      </c>
      <c r="AE327" s="648" t="str">
        <f>IFERROR(VLOOKUP(AC327,trancheanciennete[],2,TRUE),"")</f>
        <v>1 : 1-4</v>
      </c>
      <c r="AF327" s="649" t="str">
        <f>IF(T327&gt;0,VLOOKUP(T327,Trancheremuneration[],2,TRUE),"")</f>
        <v>5 : + de 23 000</v>
      </c>
      <c r="AG327" s="650">
        <f t="shared" si="23"/>
        <v>56680.251761593921</v>
      </c>
      <c r="AH327" s="631" t="str">
        <f t="shared" si="24"/>
        <v>catégorie 2</v>
      </c>
      <c r="AI327" s="631"/>
    </row>
    <row r="328" spans="1:35" ht="14">
      <c r="A328" t="s">
        <v>882</v>
      </c>
      <c r="B328" s="645" t="s">
        <v>47</v>
      </c>
      <c r="C328" s="651">
        <v>33977</v>
      </c>
      <c r="D328" s="652">
        <v>42961</v>
      </c>
      <c r="E328" s="473" t="s">
        <v>501</v>
      </c>
      <c r="F328" s="1029" t="s">
        <v>50</v>
      </c>
      <c r="G328" s="472" t="s">
        <v>399</v>
      </c>
      <c r="H328" s="472" t="s">
        <v>394</v>
      </c>
      <c r="I328" s="474" t="s">
        <v>22</v>
      </c>
      <c r="J328" s="474" t="s">
        <v>28</v>
      </c>
      <c r="K328" s="475" t="s">
        <v>43</v>
      </c>
      <c r="L328" s="861" t="str">
        <f t="shared" si="20"/>
        <v>salarié</v>
      </c>
      <c r="M328" s="485" t="s">
        <v>48</v>
      </c>
      <c r="N328" s="485" t="s">
        <v>1</v>
      </c>
      <c r="O328" s="484">
        <v>0.8</v>
      </c>
      <c r="P328" s="476" t="s">
        <v>58</v>
      </c>
      <c r="Q328" s="477" t="s">
        <v>34</v>
      </c>
      <c r="R328" s="478">
        <v>1</v>
      </c>
      <c r="S328" s="479">
        <v>7</v>
      </c>
      <c r="T328" s="1">
        <v>43000</v>
      </c>
      <c r="U328" s="656">
        <v>58284.15753012606</v>
      </c>
      <c r="V328" s="479">
        <v>250</v>
      </c>
      <c r="W328" s="483">
        <v>1</v>
      </c>
      <c r="X328" s="476">
        <v>0</v>
      </c>
      <c r="Y328" s="476">
        <v>1</v>
      </c>
      <c r="Z328" s="476">
        <v>0</v>
      </c>
      <c r="AA328" s="646" t="s">
        <v>1000</v>
      </c>
      <c r="AB328" s="647">
        <f t="shared" si="21"/>
        <v>27</v>
      </c>
      <c r="AC328" s="647">
        <f t="shared" si="22"/>
        <v>3</v>
      </c>
      <c r="AD328" s="648" t="str">
        <f>IF(AB328="","",VLOOKUP(AB328,trancheage[],2,TRUE))</f>
        <v>Moins de 30 ans</v>
      </c>
      <c r="AE328" s="648" t="str">
        <f>IFERROR(VLOOKUP(AC328,trancheanciennete[],2,TRUE),"")</f>
        <v>1 : 1-4</v>
      </c>
      <c r="AF328" s="649" t="str">
        <f>IF(T328&gt;0,VLOOKUP(T328,Trancheremuneration[],2,TRUE),"")</f>
        <v>5 : + de 23 000</v>
      </c>
      <c r="AG328" s="650">
        <f t="shared" si="23"/>
        <v>70190.989036151266</v>
      </c>
      <c r="AH328" s="631" t="str">
        <f t="shared" si="24"/>
        <v>catégorie 3</v>
      </c>
      <c r="AI328" s="631"/>
    </row>
    <row r="329" spans="1:35" ht="14">
      <c r="A329" t="s">
        <v>883</v>
      </c>
      <c r="B329" s="645" t="s">
        <v>27</v>
      </c>
      <c r="C329" s="651">
        <v>35830</v>
      </c>
      <c r="D329" s="652">
        <v>42969</v>
      </c>
      <c r="E329" s="473" t="s">
        <v>501</v>
      </c>
      <c r="F329" s="1029" t="s">
        <v>3</v>
      </c>
      <c r="G329" s="472" t="s">
        <v>395</v>
      </c>
      <c r="H329" s="472" t="s">
        <v>392</v>
      </c>
      <c r="I329" s="474" t="s">
        <v>22</v>
      </c>
      <c r="J329" s="474" t="s">
        <v>29</v>
      </c>
      <c r="K329" s="475" t="s">
        <v>43</v>
      </c>
      <c r="L329" s="861" t="str">
        <f t="shared" si="20"/>
        <v>salarié</v>
      </c>
      <c r="M329" s="485" t="s">
        <v>48</v>
      </c>
      <c r="N329" s="485" t="s">
        <v>1</v>
      </c>
      <c r="O329" s="484">
        <v>0.5</v>
      </c>
      <c r="P329" s="476" t="s">
        <v>58</v>
      </c>
      <c r="Q329" s="477" t="s">
        <v>30</v>
      </c>
      <c r="R329" s="478">
        <v>0</v>
      </c>
      <c r="S329" s="479">
        <v>7</v>
      </c>
      <c r="T329" s="1">
        <v>57400</v>
      </c>
      <c r="U329" s="656">
        <v>22153.990747239281</v>
      </c>
      <c r="V329" s="479">
        <v>250</v>
      </c>
      <c r="W329" s="483">
        <v>0</v>
      </c>
      <c r="X329" s="476">
        <v>0</v>
      </c>
      <c r="Y329" s="476">
        <v>1</v>
      </c>
      <c r="Z329" s="476">
        <v>0</v>
      </c>
      <c r="AA329" s="646" t="s">
        <v>1000</v>
      </c>
      <c r="AB329" s="647">
        <f t="shared" si="21"/>
        <v>22</v>
      </c>
      <c r="AC329" s="647">
        <f t="shared" si="22"/>
        <v>3</v>
      </c>
      <c r="AD329" s="648" t="str">
        <f>IF(AB329="","",VLOOKUP(AB329,trancheage[],2,TRUE))</f>
        <v>Moins de 30 ans</v>
      </c>
      <c r="AE329" s="648" t="str">
        <f>IFERROR(VLOOKUP(AC329,trancheanciennete[],2,TRUE),"")</f>
        <v>1 : 1-4</v>
      </c>
      <c r="AF329" s="649" t="str">
        <f>IF(T329&gt;0,VLOOKUP(T329,Trancheremuneration[],2,TRUE),"")</f>
        <v>5 : + de 23 000</v>
      </c>
      <c r="AG329" s="650">
        <f t="shared" si="23"/>
        <v>33480.986120858921</v>
      </c>
      <c r="AH329" s="631" t="str">
        <f t="shared" si="24"/>
        <v>catégorie 1</v>
      </c>
      <c r="AI329" s="631"/>
    </row>
    <row r="330" spans="1:35" ht="14">
      <c r="A330" t="s">
        <v>884</v>
      </c>
      <c r="B330" s="645" t="s">
        <v>27</v>
      </c>
      <c r="C330" s="651">
        <v>31038</v>
      </c>
      <c r="D330" s="652">
        <v>42978</v>
      </c>
      <c r="E330" s="473" t="s">
        <v>504</v>
      </c>
      <c r="F330" s="1029" t="s">
        <v>3</v>
      </c>
      <c r="G330" s="472" t="s">
        <v>395</v>
      </c>
      <c r="H330" s="472" t="s">
        <v>392</v>
      </c>
      <c r="I330" s="474" t="s">
        <v>38</v>
      </c>
      <c r="J330" s="474" t="s">
        <v>52</v>
      </c>
      <c r="K330" s="475" t="s">
        <v>37</v>
      </c>
      <c r="L330" s="861" t="str">
        <f t="shared" si="20"/>
        <v>salarié</v>
      </c>
      <c r="M330" s="485" t="s">
        <v>48</v>
      </c>
      <c r="N330" s="485" t="s">
        <v>1</v>
      </c>
      <c r="O330" s="486">
        <v>0.8</v>
      </c>
      <c r="P330" s="481" t="s">
        <v>58</v>
      </c>
      <c r="Q330" s="482" t="s">
        <v>34</v>
      </c>
      <c r="R330" s="478">
        <v>1</v>
      </c>
      <c r="S330" s="479">
        <v>14</v>
      </c>
      <c r="T330" s="1">
        <v>22720</v>
      </c>
      <c r="U330" s="656">
        <v>35783.501524842031</v>
      </c>
      <c r="V330" s="479">
        <v>250</v>
      </c>
      <c r="W330" s="483">
        <v>1</v>
      </c>
      <c r="X330" s="476">
        <v>0</v>
      </c>
      <c r="Y330" s="476">
        <v>0</v>
      </c>
      <c r="Z330" s="476">
        <v>0</v>
      </c>
      <c r="AA330" s="646" t="s">
        <v>1000</v>
      </c>
      <c r="AB330" s="647">
        <f t="shared" si="21"/>
        <v>35</v>
      </c>
      <c r="AC330" s="647">
        <f t="shared" si="22"/>
        <v>3</v>
      </c>
      <c r="AD330" s="648" t="str">
        <f>IF(AB330="","",VLOOKUP(AB330,trancheage[],2,TRUE))</f>
        <v>30 à 39 ans</v>
      </c>
      <c r="AE330" s="648" t="str">
        <f>IFERROR(VLOOKUP(AC330,trancheanciennete[],2,TRUE),"")</f>
        <v>1 : 1-4</v>
      </c>
      <c r="AF330" s="649" t="str">
        <f>IF(T330&gt;0,VLOOKUP(T330,Trancheremuneration[],2,TRUE),"")</f>
        <v>4: 20 000-23 000</v>
      </c>
      <c r="AG330" s="650">
        <f t="shared" si="23"/>
        <v>43190.201829810438</v>
      </c>
      <c r="AH330" s="631" t="str">
        <f t="shared" si="24"/>
        <v>catégorie 1</v>
      </c>
      <c r="AI330" s="631"/>
    </row>
    <row r="331" spans="1:35" ht="14">
      <c r="A331" t="s">
        <v>885</v>
      </c>
      <c r="B331" s="645" t="s">
        <v>47</v>
      </c>
      <c r="C331" s="651">
        <v>30621</v>
      </c>
      <c r="D331" s="652">
        <v>42980</v>
      </c>
      <c r="E331" s="473" t="s">
        <v>505</v>
      </c>
      <c r="F331" s="1029" t="s">
        <v>50</v>
      </c>
      <c r="G331" s="472" t="s">
        <v>396</v>
      </c>
      <c r="H331" s="472" t="s">
        <v>394</v>
      </c>
      <c r="I331" s="474" t="s">
        <v>22</v>
      </c>
      <c r="J331" s="474" t="s">
        <v>29</v>
      </c>
      <c r="K331" s="475" t="s">
        <v>43</v>
      </c>
      <c r="L331" s="861" t="str">
        <f t="shared" si="20"/>
        <v>salarié</v>
      </c>
      <c r="M331" s="485" t="s">
        <v>48</v>
      </c>
      <c r="N331" s="485" t="s">
        <v>0</v>
      </c>
      <c r="O331" s="486">
        <v>0.8</v>
      </c>
      <c r="P331" s="481" t="s">
        <v>59</v>
      </c>
      <c r="Q331" s="482" t="s">
        <v>32</v>
      </c>
      <c r="R331" s="478">
        <v>0</v>
      </c>
      <c r="S331" s="479">
        <v>0</v>
      </c>
      <c r="T331" s="1">
        <v>37240</v>
      </c>
      <c r="U331" s="656">
        <v>47150.209801328267</v>
      </c>
      <c r="V331" s="479">
        <v>100</v>
      </c>
      <c r="W331" s="483">
        <v>0</v>
      </c>
      <c r="X331" s="476">
        <v>1</v>
      </c>
      <c r="Y331" s="476">
        <v>0</v>
      </c>
      <c r="Z331" s="476">
        <v>0</v>
      </c>
      <c r="AA331" s="646" t="s">
        <v>1000</v>
      </c>
      <c r="AB331" s="647">
        <f t="shared" si="21"/>
        <v>36</v>
      </c>
      <c r="AC331" s="647">
        <f t="shared" si="22"/>
        <v>2</v>
      </c>
      <c r="AD331" s="648" t="str">
        <f>IF(AB331="","",VLOOKUP(AB331,trancheage[],2,TRUE))</f>
        <v>30 à 39 ans</v>
      </c>
      <c r="AE331" s="648" t="str">
        <f>IFERROR(VLOOKUP(AC331,trancheanciennete[],2,TRUE),"")</f>
        <v>1 : 1-4</v>
      </c>
      <c r="AF331" s="649" t="str">
        <f>IF(T331&gt;0,VLOOKUP(T331,Trancheremuneration[],2,TRUE),"")</f>
        <v>5 : + de 23 000</v>
      </c>
      <c r="AG331" s="650">
        <f t="shared" si="23"/>
        <v>56680.251761593921</v>
      </c>
      <c r="AH331" s="631" t="str">
        <f t="shared" si="24"/>
        <v>catégorie 3</v>
      </c>
      <c r="AI331" s="631"/>
    </row>
    <row r="332" spans="1:35" ht="14">
      <c r="A332" t="s">
        <v>886</v>
      </c>
      <c r="B332" s="645" t="s">
        <v>27</v>
      </c>
      <c r="C332" s="651">
        <v>36202</v>
      </c>
      <c r="D332" s="652">
        <v>42989</v>
      </c>
      <c r="E332" s="473" t="s">
        <v>501</v>
      </c>
      <c r="F332" s="1029" t="s">
        <v>3</v>
      </c>
      <c r="G332" s="472" t="s">
        <v>397</v>
      </c>
      <c r="H332" s="472" t="s">
        <v>394</v>
      </c>
      <c r="I332" s="474" t="s">
        <v>22</v>
      </c>
      <c r="J332" s="474" t="s">
        <v>29</v>
      </c>
      <c r="K332" s="475" t="s">
        <v>43</v>
      </c>
      <c r="L332" s="861" t="str">
        <f t="shared" si="20"/>
        <v>salarié</v>
      </c>
      <c r="M332" s="485" t="s">
        <v>48</v>
      </c>
      <c r="N332" s="485" t="s">
        <v>0</v>
      </c>
      <c r="O332" s="484">
        <v>0.8</v>
      </c>
      <c r="P332" s="476" t="s">
        <v>58</v>
      </c>
      <c r="Q332" s="477" t="s">
        <v>34</v>
      </c>
      <c r="R332" s="478">
        <v>1</v>
      </c>
      <c r="S332" s="479">
        <v>7</v>
      </c>
      <c r="T332" s="1">
        <v>43000</v>
      </c>
      <c r="U332" s="656">
        <v>58284.15753012606</v>
      </c>
      <c r="V332" s="479">
        <v>250</v>
      </c>
      <c r="W332" s="483">
        <v>1</v>
      </c>
      <c r="X332" s="476">
        <v>0</v>
      </c>
      <c r="Y332" s="476">
        <v>1</v>
      </c>
      <c r="Z332" s="476">
        <v>0</v>
      </c>
      <c r="AA332" s="646" t="s">
        <v>1000</v>
      </c>
      <c r="AB332" s="647">
        <f t="shared" si="21"/>
        <v>21</v>
      </c>
      <c r="AC332" s="647">
        <f t="shared" si="22"/>
        <v>2</v>
      </c>
      <c r="AD332" s="648" t="str">
        <f>IF(AB332="","",VLOOKUP(AB332,trancheage[],2,TRUE))</f>
        <v>Moins de 30 ans</v>
      </c>
      <c r="AE332" s="648" t="str">
        <f>IFERROR(VLOOKUP(AC332,trancheanciennete[],2,TRUE),"")</f>
        <v>1 : 1-4</v>
      </c>
      <c r="AF332" s="649" t="str">
        <f>IF(T332&gt;0,VLOOKUP(T332,Trancheremuneration[],2,TRUE),"")</f>
        <v>5 : + de 23 000</v>
      </c>
      <c r="AG332" s="650">
        <f t="shared" si="23"/>
        <v>70190.989036151266</v>
      </c>
      <c r="AH332" s="631" t="str">
        <f t="shared" si="24"/>
        <v>catégorie 3</v>
      </c>
      <c r="AI332" s="631"/>
    </row>
    <row r="333" spans="1:35" ht="14">
      <c r="A333" t="s">
        <v>579</v>
      </c>
      <c r="B333" s="645" t="s">
        <v>47</v>
      </c>
      <c r="C333" s="651">
        <v>32704</v>
      </c>
      <c r="D333" s="652">
        <v>43003</v>
      </c>
      <c r="E333" s="473" t="s">
        <v>501</v>
      </c>
      <c r="F333" s="1029" t="s">
        <v>3</v>
      </c>
      <c r="G333" s="472" t="s">
        <v>398</v>
      </c>
      <c r="H333" s="472" t="s">
        <v>393</v>
      </c>
      <c r="I333" s="474" t="s">
        <v>23</v>
      </c>
      <c r="J333" s="474" t="s">
        <v>18</v>
      </c>
      <c r="K333" s="475" t="s">
        <v>302</v>
      </c>
      <c r="L333" s="861" t="str">
        <f t="shared" si="20"/>
        <v>salarié</v>
      </c>
      <c r="M333" s="485" t="s">
        <v>48</v>
      </c>
      <c r="N333" s="485" t="s">
        <v>1</v>
      </c>
      <c r="O333" s="484">
        <v>0.5</v>
      </c>
      <c r="P333" s="476" t="s">
        <v>58</v>
      </c>
      <c r="Q333" s="477" t="s">
        <v>30</v>
      </c>
      <c r="R333" s="478">
        <v>0</v>
      </c>
      <c r="S333" s="479">
        <v>7</v>
      </c>
      <c r="T333" s="1">
        <v>57400</v>
      </c>
      <c r="U333" s="656">
        <v>22153.990747239281</v>
      </c>
      <c r="V333" s="479">
        <v>250</v>
      </c>
      <c r="W333" s="483">
        <v>0</v>
      </c>
      <c r="X333" s="476">
        <v>0</v>
      </c>
      <c r="Y333" s="476">
        <v>1</v>
      </c>
      <c r="Z333" s="476">
        <v>0</v>
      </c>
      <c r="AA333" s="646" t="s">
        <v>1000</v>
      </c>
      <c r="AB333" s="647">
        <f t="shared" si="21"/>
        <v>31</v>
      </c>
      <c r="AC333" s="647">
        <f t="shared" si="22"/>
        <v>2</v>
      </c>
      <c r="AD333" s="648" t="str">
        <f>IF(AB333="","",VLOOKUP(AB333,trancheage[],2,TRUE))</f>
        <v>30 à 39 ans</v>
      </c>
      <c r="AE333" s="648" t="str">
        <f>IFERROR(VLOOKUP(AC333,trancheanciennete[],2,TRUE),"")</f>
        <v>1 : 1-4</v>
      </c>
      <c r="AF333" s="649" t="str">
        <f>IF(T333&gt;0,VLOOKUP(T333,Trancheremuneration[],2,TRUE),"")</f>
        <v>5 : + de 23 000</v>
      </c>
      <c r="AG333" s="650">
        <f t="shared" si="23"/>
        <v>33480.986120858921</v>
      </c>
      <c r="AH333" s="631" t="str">
        <f t="shared" si="24"/>
        <v>catégorie 2</v>
      </c>
      <c r="AI333" s="631"/>
    </row>
    <row r="334" spans="1:35" ht="14">
      <c r="A334" t="s">
        <v>887</v>
      </c>
      <c r="B334" s="645" t="s">
        <v>47</v>
      </c>
      <c r="C334" s="651">
        <v>34667</v>
      </c>
      <c r="D334" s="652">
        <v>43009</v>
      </c>
      <c r="E334" s="473" t="s">
        <v>504</v>
      </c>
      <c r="F334" s="1029" t="s">
        <v>3</v>
      </c>
      <c r="G334" s="472" t="s">
        <v>399</v>
      </c>
      <c r="H334" s="472" t="s">
        <v>394</v>
      </c>
      <c r="I334" s="474" t="s">
        <v>22</v>
      </c>
      <c r="J334" s="474" t="s">
        <v>18</v>
      </c>
      <c r="K334" s="475" t="s">
        <v>302</v>
      </c>
      <c r="L334" s="861" t="str">
        <f t="shared" si="20"/>
        <v>salarié</v>
      </c>
      <c r="M334" s="485" t="s">
        <v>48</v>
      </c>
      <c r="N334" s="485" t="s">
        <v>1</v>
      </c>
      <c r="O334" s="486">
        <v>0.8</v>
      </c>
      <c r="P334" s="481" t="s">
        <v>58</v>
      </c>
      <c r="Q334" s="482" t="s">
        <v>34</v>
      </c>
      <c r="R334" s="478">
        <v>1</v>
      </c>
      <c r="S334" s="479">
        <v>14</v>
      </c>
      <c r="T334" s="1">
        <v>22720</v>
      </c>
      <c r="U334" s="654">
        <v>320213</v>
      </c>
      <c r="V334" s="479">
        <v>250</v>
      </c>
      <c r="W334" s="483">
        <v>1</v>
      </c>
      <c r="X334" s="476">
        <v>0</v>
      </c>
      <c r="Y334" s="476">
        <v>0</v>
      </c>
      <c r="Z334" s="476">
        <v>0</v>
      </c>
      <c r="AA334" s="646" t="s">
        <v>1000</v>
      </c>
      <c r="AB334" s="647">
        <f t="shared" si="21"/>
        <v>25</v>
      </c>
      <c r="AC334" s="647">
        <f t="shared" si="22"/>
        <v>2</v>
      </c>
      <c r="AD334" s="648" t="str">
        <f>IF(AB334="","",VLOOKUP(AB334,trancheage[],2,TRUE))</f>
        <v>Moins de 30 ans</v>
      </c>
      <c r="AE334" s="648" t="str">
        <f>IFERROR(VLOOKUP(AC334,trancheanciennete[],2,TRUE),"")</f>
        <v>1 : 1-4</v>
      </c>
      <c r="AF334" s="649" t="str">
        <f>IF(T334&gt;0,VLOOKUP(T334,Trancheremuneration[],2,TRUE),"")</f>
        <v>4: 20 000-23 000</v>
      </c>
      <c r="AG334" s="650">
        <f t="shared" si="23"/>
        <v>384505.59999999998</v>
      </c>
      <c r="AH334" s="631" t="str">
        <f t="shared" si="24"/>
        <v>catégorie 3</v>
      </c>
      <c r="AI334" s="631"/>
    </row>
  </sheetData>
  <sheetProtection selectLockedCells="1"/>
  <mergeCells count="7">
    <mergeCell ref="R1:S1"/>
    <mergeCell ref="I8:J8"/>
    <mergeCell ref="I2:J2"/>
    <mergeCell ref="I4:J4"/>
    <mergeCell ref="I5:J5"/>
    <mergeCell ref="I6:J6"/>
    <mergeCell ref="I7:J7"/>
  </mergeCells>
  <phoneticPr fontId="2"/>
  <dataValidations count="11">
    <dataValidation type="whole" allowBlank="1" showInputMessage="1" showErrorMessage="1" sqref="X15:Z334 U76:U78 T77:T79 U147:U207 T148:T208 V15:V334" xr:uid="{95AF9F45-9E7A-FC46-B339-41BAC5803365}">
      <formula1>0</formula1>
      <formula2>10000000</formula2>
    </dataValidation>
    <dataValidation type="list" allowBlank="1" showInputMessage="1" showErrorMessage="1" promptTitle="Sexe" prompt="H ou F" sqref="B15:B334" xr:uid="{69CFCD5C-50A5-7B42-BE26-4BDDFB178841}">
      <formula1>"F,H"</formula1>
    </dataValidation>
    <dataValidation type="date" allowBlank="1" showInputMessage="1" showErrorMessage="1" error="Date impossible" promptTitle="Date de naissance" prompt="Saisir sous la forme jour/mois/année exemple : 10/12/2008" sqref="C15:C334" xr:uid="{2D2295A6-245D-0C40-9C87-4970A4F90553}">
      <formula1>7306</formula1>
      <formula2>72686</formula2>
    </dataValidation>
    <dataValidation type="custom" allowBlank="1" showInputMessage="1" showErrorMessage="1" errorTitle="Dte trop récente" error="La date d'embauche ne peuêtre postérieure à la date de référence" promptTitle="Date d'embauche" prompt="Saisir sous la forme jour/mois/année exemple : 10/12/2008" sqref="D15:D334" xr:uid="{25827E92-F4EF-694A-8C7B-421D802EF020}">
      <formula1>D15&lt;$A$7</formula1>
    </dataValidation>
    <dataValidation type="decimal" allowBlank="1" showInputMessage="1" showErrorMessage="1" errorTitle="Saisie incorrecte" error="La valeur doit être comprise entre 0 et 100 %_x000a_" sqref="O15:O334" xr:uid="{F5FC5563-08BD-EB4D-BE99-F2EFFB775CB0}">
      <formula1>0</formula1>
      <formula2>1</formula2>
    </dataValidation>
    <dataValidation type="list" allowBlank="1" showInputMessage="1" showErrorMessage="1" promptTitle="Augmentation" prompt="Saisir 0 ou 1 ou choisir dans la liste déroulante" sqref="W15:W334" xr:uid="{8A2CFF5B-58A6-574F-835A-072EF015AAB5}">
      <formula1>"0,1"</formula1>
    </dataValidation>
    <dataValidation type="list" showDropDown="1" showInputMessage="1" showErrorMessage="1" error="Les cellules en gris ne doivent pas être modifiées, elle contiennent des formules" promptTitle="Formule, ne pas modifier" prompt="Les cellules en gris ne doivent pas être modifiées, elle contiennent des formules" sqref="AC15:AF334 AG16:AG334" xr:uid="{E45184CE-989F-424F-81B4-9306EA9CEB9A}">
      <formula1>"£"</formula1>
    </dataValidation>
    <dataValidation type="whole" errorStyle="information" showDropDown="1" showInputMessage="1" showErrorMessage="1" error="Les cellules en gris ne doivent pas être modifiées, elle contiennent des formules" promptTitle="Formule, ne pas modifier" prompt="Les cellules en gris ne doivent pas être modifiées, elle contiennent des formules" sqref="AB15:AB334" xr:uid="{97087629-1F69-D64D-AF36-B5AD3D5AE7EE}">
      <formula1>15</formula1>
      <formula2>100</formula2>
    </dataValidation>
    <dataValidation allowBlank="1" showInputMessage="1" showErrorMessage="1" errorTitle="Saisie incorrecte" error="Saisissez ou choisissez un élément de la liste déroulante" sqref="J15:L334" xr:uid="{2E75A029-54F3-A449-A814-5EDDA6CCFAFD}"/>
    <dataValidation errorStyle="information" allowBlank="1" showInputMessage="1" showErrorMessage="1" prompt="Il est préférable d'utiliser les éléments e la liste" sqref="F15:F334" xr:uid="{00D87F1E-6CDA-BB4A-A2E9-ACADE6EACAFF}"/>
    <dataValidation type="list" showDropDown="1" showInputMessage="1" showErrorMessage="1" error="Les cellules en gris ne doivent pas être modifiées, elle contiennent des formules" promptTitle="Formule, ne pas modifier" prompt="Les cellules en gris ne doivent pas être modifiées, elle contiennent des formules" sqref="AG15" xr:uid="{D34B8CE3-5BDA-A844-9DBA-9EF299017BE9}">
      <formula1>"£"</formula1>
    </dataValidation>
  </dataValidations>
  <hyperlinks>
    <hyperlink ref="C1" location="SOMMAIRE!A1" display="SOMMAIRE" xr:uid="{7D6C480E-789C-FB42-B27A-05E609FF22F2}"/>
    <hyperlink ref="R1" location="'Bilan EGALIZ'!A1" display="BILAN EGALIZ" xr:uid="{5E3E2A16-D331-1F45-A0DF-5E95C0130D19}"/>
    <hyperlink ref="R1:S1" location="DIAGNOSTIC!A1" display="BILAN EGALIZ" xr:uid="{FC5B4229-FF20-5E4D-92F4-8BD04E20E539}"/>
  </hyperlinks>
  <pageMargins left="0.55118110236220474" right="0.39370078740157483" top="0.98425196850393704" bottom="0.98425196850393704" header="0.51181102362204722" footer="0.51181102362204722"/>
  <pageSetup paperSize="9" scale="10" orientation="landscape" horizontalDpi="4294967292" verticalDpi="4294967292"/>
  <headerFooter alignWithMargins="0"/>
  <drawing r:id="rId2"/>
  <legacyDrawing r:id="rId3"/>
  <tableParts count="1">
    <tablePart r:id="rId4"/>
  </tableParts>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Saisie incorrecte" error="Saisissez ou choisissez un élément de la liste déroulante" xr:uid="{41D24B86-A1F0-694B-A6EF-F35B339623B1}">
          <x14:formula1>
            <xm:f>Paramètres!$G$7:$G$11</xm:f>
          </x14:formula1>
          <xm:sqref>G15:G334</xm:sqref>
        </x14:dataValidation>
        <x14:dataValidation type="list" allowBlank="1" showInputMessage="1" showErrorMessage="1" errorTitle="Saisie incorrecte" error="Saisissez ou choisissez un élément de la liste déroulante" xr:uid="{08DAA244-D8F2-E342-AEC6-C1310AD1EB7B}">
          <x14:formula1>
            <xm:f>Paramètres!$I$7:$I$9</xm:f>
          </x14:formula1>
          <xm:sqref>H15:H334</xm:sqref>
        </x14:dataValidation>
        <x14:dataValidation type="list" allowBlank="1" showInputMessage="1" showErrorMessage="1" errorTitle="Saisie incorrecte" error="Saisissez ou choisissez un élément de la liste déroulante" xr:uid="{6D150C28-9BC5-EE49-9C5D-81608978BC44}">
          <x14:formula1>
            <xm:f>Paramètres!$W$7:$W$8</xm:f>
          </x14:formula1>
          <xm:sqref>P15:P334</xm:sqref>
        </x14:dataValidation>
        <x14:dataValidation type="list" allowBlank="1" showInputMessage="1" showErrorMessage="1" errorTitle="Saisie incorrecte" error="Saisissez ou choisissez un élément de la liste déroulante" xr:uid="{C474BC18-2548-2241-94BF-9600FE45C45A}">
          <x14:formula1>
            <xm:f>Paramètres!$K$7:$K$9</xm:f>
          </x14:formula1>
          <xm:sqref>I15:I334</xm:sqref>
        </x14:dataValidation>
        <x14:dataValidation type="list" errorStyle="information" allowBlank="1" showInputMessage="1" showErrorMessage="1" errorTitle="Saisie incorrecte" error="Il serait préférable de s'en tenir aux valeurs prévues" xr:uid="{9C825D23-3BE0-CE4D-ACBF-A84971D53BB2}">
          <x14:formula1>
            <xm:f>Paramètres!$S$7:$S$9</xm:f>
          </x14:formula1>
          <xm:sqref>M15:M334</xm:sqref>
        </x14:dataValidation>
        <x14:dataValidation type="list" allowBlank="1" showInputMessage="1" showErrorMessage="1" errorTitle="Saisie incorrecte" error="Saisissez ou choisissez un élément de la liste déroulante" xr:uid="{20C11593-9FA9-5648-BCC8-B63B626AEA49}">
          <x14:formula1>
            <xm:f>Paramètres!$U$7:$U$8</xm:f>
          </x14:formula1>
          <xm:sqref>N15:N334</xm:sqref>
        </x14:dataValidation>
        <x14:dataValidation type="list" errorStyle="warning" allowBlank="1" showInputMessage="1" showErrorMessage="1" errorTitle="Saisie incorrecte" error="Saisissez ou choisissez un élément de la liste déroulante" xr:uid="{E169EB8B-5F76-DF47-8FE6-41EF14E44C6C}">
          <x14:formula1>
            <xm:f>Paramètres!$C$7:$C$13</xm:f>
          </x14:formula1>
          <xm:sqref>E15:E334</xm:sqref>
        </x14:dataValidation>
        <x14:dataValidation type="list" errorStyle="information" allowBlank="1" showInputMessage="1" showErrorMessage="1" prompt="Il est préférable d'utiliser les éléments e la liste" xr:uid="{210D6F06-91DC-AA41-BA0E-6E4377414A8A}">
          <x14:formula1>
            <xm:f>Paramètres!$AL$7:$AL$9</xm:f>
          </x14:formula1>
          <xm:sqref>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CF851-1F82-2647-A490-34AE1D471474}">
  <sheetPr>
    <tabColor theme="0" tint="-0.34998626667073579"/>
  </sheetPr>
  <dimension ref="A1:AL59"/>
  <sheetViews>
    <sheetView showGridLines="0" zoomScaleNormal="100" workbookViewId="0">
      <selection activeCell="F1" sqref="F1"/>
    </sheetView>
  </sheetViews>
  <sheetFormatPr baseColWidth="10" defaultRowHeight="14"/>
  <cols>
    <col min="1" max="1" width="7.83203125" style="124" customWidth="1"/>
    <col min="2" max="2" width="3" customWidth="1"/>
    <col min="3" max="3" width="11.1640625" customWidth="1"/>
    <col min="4" max="4" width="3.83203125" customWidth="1"/>
    <col min="5" max="5" width="11" bestFit="1" customWidth="1"/>
    <col min="6" max="6" width="3.83203125" customWidth="1"/>
    <col min="7" max="7" width="6" bestFit="1" customWidth="1"/>
    <col min="8" max="8" width="3.83203125" customWidth="1"/>
    <col min="9" max="9" width="9.33203125" bestFit="1" customWidth="1"/>
    <col min="10" max="10" width="3.83203125" customWidth="1"/>
    <col min="11" max="11" width="6" bestFit="1" customWidth="1"/>
    <col min="12" max="12" width="7" customWidth="1"/>
    <col min="13" max="13" width="14.33203125" bestFit="1" customWidth="1"/>
    <col min="14" max="14" width="3.83203125" customWidth="1"/>
    <col min="15" max="15" width="18.83203125" bestFit="1" customWidth="1"/>
    <col min="16" max="16" width="3.83203125" customWidth="1"/>
    <col min="17" max="17" width="6" bestFit="1" customWidth="1"/>
    <col min="18" max="18" width="3.83203125" customWidth="1"/>
    <col min="19" max="19" width="10.5" bestFit="1" customWidth="1"/>
    <col min="20" max="20" width="3.83203125" customWidth="1"/>
    <col min="21" max="21" width="3.33203125" bestFit="1" customWidth="1"/>
    <col min="22" max="22" width="3.83203125" customWidth="1"/>
    <col min="23" max="23" width="9.1640625" bestFit="1" customWidth="1"/>
    <col min="24" max="24" width="3.1640625" style="1043" customWidth="1"/>
    <col min="25" max="25" width="2" style="1043" customWidth="1"/>
    <col min="26" max="26" width="3.1640625" customWidth="1"/>
    <col min="27" max="27" width="5.33203125" customWidth="1"/>
    <col min="28" max="28" width="15.83203125" customWidth="1"/>
    <col min="29" max="29" width="3" customWidth="1"/>
    <col min="30" max="30" width="5" customWidth="1"/>
    <col min="31" max="31" width="18.5" customWidth="1"/>
    <col min="32" max="32" width="3" customWidth="1"/>
    <col min="33" max="33" width="9.6640625" customWidth="1"/>
    <col min="34" max="34" width="20.6640625" customWidth="1"/>
    <col min="35" max="35" width="2.6640625" customWidth="1"/>
    <col min="36" max="36" width="2" customWidth="1"/>
    <col min="38" max="38" width="24.83203125" customWidth="1"/>
  </cols>
  <sheetData>
    <row r="1" spans="1:38" s="124" customFormat="1" ht="67.5" customHeight="1">
      <c r="A1" s="123"/>
      <c r="F1" s="1165" t="s">
        <v>980</v>
      </c>
      <c r="G1" s="1158"/>
    </row>
    <row r="2" spans="1:38">
      <c r="Y2" s="124"/>
      <c r="AJ2" s="124"/>
    </row>
    <row r="3" spans="1:38">
      <c r="Y3" s="124"/>
      <c r="AJ3" s="124"/>
    </row>
    <row r="4" spans="1:38" ht="18">
      <c r="B4" s="124"/>
      <c r="C4" s="124"/>
      <c r="D4" s="124"/>
      <c r="E4" s="1057" t="s">
        <v>956</v>
      </c>
      <c r="F4" s="124"/>
      <c r="G4" s="124"/>
      <c r="H4" s="124"/>
      <c r="I4" s="124"/>
      <c r="J4" s="124"/>
      <c r="K4" s="124"/>
      <c r="L4" s="124"/>
      <c r="M4" s="124"/>
      <c r="N4" s="124"/>
      <c r="O4" s="124"/>
      <c r="P4" s="124"/>
      <c r="Q4" s="124"/>
      <c r="R4" s="124"/>
      <c r="S4" s="124"/>
      <c r="T4" s="124"/>
      <c r="U4" s="124"/>
      <c r="V4" s="124"/>
      <c r="W4" s="124"/>
      <c r="X4" s="124"/>
      <c r="Y4" s="124"/>
      <c r="Z4" s="124"/>
      <c r="AA4" s="1057" t="s">
        <v>957</v>
      </c>
      <c r="AB4" s="124"/>
      <c r="AC4" s="124"/>
      <c r="AD4" s="124"/>
      <c r="AE4" s="124"/>
      <c r="AF4" s="124"/>
      <c r="AG4" s="124"/>
      <c r="AH4" s="124"/>
      <c r="AI4" s="124"/>
      <c r="AJ4" s="124"/>
      <c r="AL4" s="143" t="s">
        <v>958</v>
      </c>
    </row>
    <row r="5" spans="1:38">
      <c r="Y5" s="124"/>
      <c r="AJ5" s="124"/>
    </row>
    <row r="6" spans="1:38">
      <c r="B6" s="14"/>
      <c r="C6" s="14" t="s">
        <v>536</v>
      </c>
      <c r="E6" t="s">
        <v>12</v>
      </c>
      <c r="G6" s="14" t="s">
        <v>537</v>
      </c>
      <c r="I6" s="14" t="s">
        <v>538</v>
      </c>
      <c r="K6" t="s">
        <v>24</v>
      </c>
      <c r="M6" t="s">
        <v>17</v>
      </c>
      <c r="O6" t="s">
        <v>54</v>
      </c>
      <c r="Q6" t="s">
        <v>417</v>
      </c>
      <c r="S6" t="s">
        <v>55</v>
      </c>
      <c r="U6" t="s">
        <v>2</v>
      </c>
      <c r="W6" t="s">
        <v>57</v>
      </c>
      <c r="Y6" s="124"/>
      <c r="AA6" s="14" t="s">
        <v>26</v>
      </c>
      <c r="AB6" s="14" t="s">
        <v>539</v>
      </c>
      <c r="AD6" s="14" t="s">
        <v>542</v>
      </c>
      <c r="AE6" s="14" t="s">
        <v>541</v>
      </c>
      <c r="AG6" s="14" t="s">
        <v>499</v>
      </c>
      <c r="AH6" s="14" t="s">
        <v>544</v>
      </c>
      <c r="AJ6" s="124"/>
      <c r="AL6" t="s">
        <v>619</v>
      </c>
    </row>
    <row r="7" spans="1:38">
      <c r="C7" t="s">
        <v>534</v>
      </c>
      <c r="E7" t="s">
        <v>3</v>
      </c>
      <c r="G7" t="s">
        <v>395</v>
      </c>
      <c r="I7" t="s">
        <v>392</v>
      </c>
      <c r="K7" t="s">
        <v>22</v>
      </c>
      <c r="M7" t="s">
        <v>28</v>
      </c>
      <c r="O7" t="s">
        <v>43</v>
      </c>
      <c r="Q7" t="s">
        <v>418</v>
      </c>
      <c r="S7" t="s">
        <v>48</v>
      </c>
      <c r="U7" t="s">
        <v>0</v>
      </c>
      <c r="W7" t="s">
        <v>58</v>
      </c>
      <c r="Y7" s="124"/>
      <c r="AA7">
        <v>0</v>
      </c>
      <c r="AB7" s="14" t="s">
        <v>618</v>
      </c>
      <c r="AE7" s="14" t="s">
        <v>46</v>
      </c>
      <c r="AG7">
        <v>0</v>
      </c>
      <c r="AH7" s="14" t="s">
        <v>622</v>
      </c>
      <c r="AJ7" s="124"/>
      <c r="AL7" t="s">
        <v>629</v>
      </c>
    </row>
    <row r="8" spans="1:38">
      <c r="C8" t="s">
        <v>535</v>
      </c>
      <c r="E8" t="s">
        <v>49</v>
      </c>
      <c r="G8" t="s">
        <v>396</v>
      </c>
      <c r="I8" t="s">
        <v>393</v>
      </c>
      <c r="K8" t="s">
        <v>23</v>
      </c>
      <c r="M8" t="s">
        <v>18</v>
      </c>
      <c r="O8" t="s">
        <v>11</v>
      </c>
      <c r="Q8" t="s">
        <v>420</v>
      </c>
      <c r="S8" t="s">
        <v>42</v>
      </c>
      <c r="U8" t="s">
        <v>1</v>
      </c>
      <c r="W8" t="s">
        <v>59</v>
      </c>
      <c r="Y8" s="124"/>
      <c r="AA8">
        <v>30</v>
      </c>
      <c r="AB8" t="s">
        <v>250</v>
      </c>
      <c r="AD8">
        <v>0</v>
      </c>
      <c r="AE8" s="14" t="s">
        <v>5</v>
      </c>
      <c r="AG8">
        <v>7000</v>
      </c>
      <c r="AH8" t="s">
        <v>623</v>
      </c>
      <c r="AJ8" s="124"/>
      <c r="AL8" t="s">
        <v>620</v>
      </c>
    </row>
    <row r="9" spans="1:38">
      <c r="C9" t="s">
        <v>501</v>
      </c>
      <c r="E9" t="s">
        <v>50</v>
      </c>
      <c r="G9" t="s">
        <v>397</v>
      </c>
      <c r="I9" t="s">
        <v>394</v>
      </c>
      <c r="K9" t="s">
        <v>38</v>
      </c>
      <c r="M9" t="s">
        <v>29</v>
      </c>
      <c r="O9" t="s">
        <v>44</v>
      </c>
      <c r="Q9" t="s">
        <v>419</v>
      </c>
      <c r="S9" t="s">
        <v>40</v>
      </c>
      <c r="Y9" s="124"/>
      <c r="AA9">
        <v>39</v>
      </c>
      <c r="AB9" t="s">
        <v>251</v>
      </c>
      <c r="AD9">
        <v>4</v>
      </c>
      <c r="AE9" s="14" t="s">
        <v>6</v>
      </c>
      <c r="AG9">
        <v>14000</v>
      </c>
      <c r="AH9" t="s">
        <v>624</v>
      </c>
      <c r="AJ9" s="124"/>
      <c r="AL9" t="s">
        <v>630</v>
      </c>
    </row>
    <row r="10" spans="1:38">
      <c r="C10" t="s">
        <v>502</v>
      </c>
      <c r="E10" t="s">
        <v>51</v>
      </c>
      <c r="G10" t="s">
        <v>398</v>
      </c>
      <c r="M10" t="s">
        <v>52</v>
      </c>
      <c r="O10" t="s">
        <v>56</v>
      </c>
      <c r="Q10" t="s">
        <v>421</v>
      </c>
      <c r="Y10" s="124"/>
      <c r="AA10">
        <v>49</v>
      </c>
      <c r="AB10" t="s">
        <v>252</v>
      </c>
      <c r="AD10">
        <v>9</v>
      </c>
      <c r="AE10" t="s">
        <v>7</v>
      </c>
      <c r="AG10">
        <v>17000</v>
      </c>
      <c r="AH10" t="s">
        <v>625</v>
      </c>
      <c r="AJ10" s="124"/>
    </row>
    <row r="11" spans="1:38">
      <c r="C11" t="s">
        <v>503</v>
      </c>
      <c r="E11" s="14"/>
      <c r="G11" t="s">
        <v>399</v>
      </c>
      <c r="M11" t="s">
        <v>284</v>
      </c>
      <c r="O11" t="s">
        <v>35</v>
      </c>
      <c r="Q11" t="s">
        <v>422</v>
      </c>
      <c r="Y11" s="124"/>
      <c r="AD11">
        <v>14</v>
      </c>
      <c r="AE11" t="s">
        <v>10</v>
      </c>
      <c r="AG11">
        <v>20000</v>
      </c>
      <c r="AH11" t="s">
        <v>626</v>
      </c>
      <c r="AJ11" s="124"/>
    </row>
    <row r="12" spans="1:38">
      <c r="C12" t="s">
        <v>504</v>
      </c>
      <c r="O12" t="s">
        <v>37</v>
      </c>
      <c r="Y12" s="124"/>
      <c r="AD12">
        <v>19</v>
      </c>
      <c r="AE12" t="s">
        <v>8</v>
      </c>
      <c r="AG12">
        <v>23000</v>
      </c>
      <c r="AH12" t="s">
        <v>627</v>
      </c>
      <c r="AJ12" s="124"/>
    </row>
    <row r="13" spans="1:38">
      <c r="C13" t="s">
        <v>505</v>
      </c>
      <c r="O13" t="s">
        <v>302</v>
      </c>
      <c r="Y13" s="124"/>
      <c r="AD13">
        <v>24</v>
      </c>
      <c r="AE13" t="s">
        <v>9</v>
      </c>
      <c r="AJ13" s="124"/>
    </row>
    <row r="14" spans="1:38">
      <c r="O14" t="s">
        <v>36</v>
      </c>
      <c r="Y14" s="124"/>
      <c r="AD14">
        <v>29</v>
      </c>
      <c r="AE14" t="s">
        <v>20</v>
      </c>
      <c r="AJ14" s="124"/>
    </row>
    <row r="15" spans="1:38">
      <c r="C15" s="1043"/>
      <c r="D15" s="1043"/>
      <c r="E15" s="1043"/>
      <c r="F15" s="1043"/>
      <c r="G15" s="1043"/>
      <c r="H15" s="1043"/>
      <c r="I15" s="1043"/>
      <c r="J15" s="1043"/>
      <c r="K15" s="1043"/>
      <c r="L15" s="1043"/>
      <c r="M15" s="1043"/>
      <c r="O15" t="s">
        <v>305</v>
      </c>
      <c r="Y15" s="124"/>
      <c r="AD15">
        <v>34</v>
      </c>
      <c r="AE15" t="s">
        <v>540</v>
      </c>
      <c r="AJ15" s="124"/>
    </row>
    <row r="16" spans="1:38">
      <c r="C16" s="1043"/>
      <c r="D16" s="1043"/>
      <c r="E16" s="1043"/>
      <c r="F16" s="1043"/>
      <c r="G16" s="1043"/>
      <c r="H16" s="1043"/>
      <c r="I16" s="1043"/>
      <c r="J16" s="1043"/>
      <c r="K16" s="1043"/>
      <c r="L16" s="1043"/>
      <c r="M16" s="1043"/>
      <c r="O16" t="s">
        <v>303</v>
      </c>
      <c r="Y16" s="124"/>
      <c r="AD16">
        <v>39</v>
      </c>
      <c r="AE16" s="14" t="s">
        <v>543</v>
      </c>
      <c r="AJ16" s="124"/>
    </row>
    <row r="17" spans="3:36">
      <c r="C17" s="1043"/>
      <c r="D17" s="1043"/>
      <c r="E17" s="1043"/>
      <c r="F17" s="1043"/>
      <c r="G17" s="1043"/>
      <c r="H17" s="1043"/>
      <c r="I17" s="1043"/>
      <c r="J17" s="1043"/>
      <c r="K17" s="1043"/>
      <c r="L17" s="1043"/>
      <c r="M17" s="1043"/>
      <c r="O17" t="s">
        <v>304</v>
      </c>
      <c r="Y17" s="124"/>
      <c r="AD17">
        <v>100</v>
      </c>
      <c r="AJ17" s="124"/>
    </row>
    <row r="18" spans="3:36">
      <c r="C18" s="1043"/>
      <c r="D18" s="1043"/>
      <c r="E18" s="1043"/>
      <c r="F18" s="1043"/>
      <c r="G18" s="1043"/>
      <c r="H18" s="1043"/>
      <c r="I18" s="1043"/>
      <c r="J18" s="1043"/>
      <c r="K18" s="1043"/>
      <c r="L18" s="1043"/>
      <c r="M18" s="1043"/>
      <c r="O18" t="s">
        <v>301</v>
      </c>
      <c r="Y18" s="124"/>
      <c r="AJ18" s="124"/>
    </row>
    <row r="19" spans="3:36">
      <c r="C19" s="1043"/>
      <c r="D19" s="1043"/>
      <c r="E19" s="1043"/>
      <c r="F19" s="1043"/>
      <c r="G19" s="1043"/>
      <c r="H19" s="1043"/>
      <c r="I19" s="1043"/>
      <c r="J19" s="1043"/>
      <c r="K19" s="1043"/>
      <c r="L19" s="1043"/>
      <c r="M19" s="1043"/>
      <c r="O19" t="s">
        <v>306</v>
      </c>
      <c r="Y19" s="124"/>
      <c r="AJ19" s="124"/>
    </row>
    <row r="20" spans="3:36">
      <c r="C20" s="1043"/>
      <c r="D20" s="1043"/>
      <c r="E20" s="1043"/>
      <c r="F20" s="1043"/>
      <c r="G20" s="1043"/>
      <c r="H20" s="1043"/>
      <c r="I20" s="1043"/>
      <c r="J20" s="1043"/>
      <c r="K20" s="1043"/>
      <c r="L20" s="1043"/>
      <c r="M20" s="1043"/>
      <c r="Y20" s="124"/>
      <c r="AJ20" s="124"/>
    </row>
    <row r="21" spans="3:36">
      <c r="C21" s="1043"/>
      <c r="D21" s="1043"/>
      <c r="E21" s="1043"/>
      <c r="F21" s="1043"/>
      <c r="G21" s="1043"/>
      <c r="H21" s="1043"/>
      <c r="I21" s="1043"/>
      <c r="J21" s="1043"/>
      <c r="K21" s="1043"/>
      <c r="L21" s="1043"/>
      <c r="M21" s="1043"/>
      <c r="Y21" s="124"/>
      <c r="AJ21" s="124"/>
    </row>
    <row r="22" spans="3:36">
      <c r="E22" s="1043"/>
      <c r="F22" s="1043"/>
      <c r="G22" s="1043"/>
      <c r="H22" s="1043"/>
      <c r="I22" s="1043"/>
      <c r="J22" s="1043"/>
      <c r="K22" s="1043"/>
      <c r="L22" s="1043"/>
      <c r="M22" s="1043"/>
      <c r="Y22" s="124"/>
      <c r="AJ22" s="124"/>
    </row>
    <row r="23" spans="3:36">
      <c r="E23" s="1043"/>
      <c r="F23" s="1043"/>
      <c r="G23" s="1043"/>
      <c r="H23" s="1043"/>
      <c r="I23" s="1043"/>
      <c r="J23" s="1043"/>
      <c r="K23" s="1043"/>
      <c r="L23" s="1043"/>
      <c r="M23" s="1043"/>
      <c r="Y23" s="124"/>
      <c r="AJ23" s="124"/>
    </row>
    <row r="24" spans="3:36">
      <c r="E24" s="1043"/>
      <c r="F24" s="1043"/>
      <c r="G24" s="1043"/>
      <c r="H24" s="1043"/>
      <c r="I24" s="1043"/>
      <c r="J24" s="1043"/>
      <c r="K24" s="1043"/>
      <c r="L24" s="1043"/>
      <c r="M24" s="1043"/>
      <c r="Y24" s="124"/>
      <c r="AJ24" s="124"/>
    </row>
    <row r="25" spans="3:36">
      <c r="E25" s="1043"/>
      <c r="F25" s="1043"/>
      <c r="G25" s="1043"/>
      <c r="H25" s="1043"/>
      <c r="I25" s="1043"/>
      <c r="J25" s="1043"/>
      <c r="K25" s="1043"/>
      <c r="L25" s="1043"/>
      <c r="M25" s="1043"/>
      <c r="Y25" s="124"/>
      <c r="AJ25" s="124"/>
    </row>
    <row r="26" spans="3:36">
      <c r="E26" s="1043"/>
      <c r="F26" s="1043"/>
      <c r="G26" s="1043"/>
      <c r="H26" s="1043"/>
      <c r="I26" s="1043"/>
      <c r="J26" s="1043"/>
      <c r="K26" s="1043"/>
      <c r="L26" s="1043"/>
      <c r="M26" s="1043"/>
      <c r="Y26" s="124"/>
      <c r="AJ26" s="124"/>
    </row>
    <row r="27" spans="3:36">
      <c r="E27" s="1043"/>
      <c r="F27" s="1043"/>
      <c r="G27" s="1043"/>
      <c r="H27" s="1043"/>
      <c r="I27" s="1043"/>
      <c r="J27" s="1043"/>
      <c r="K27" s="1043"/>
      <c r="L27" s="1043"/>
      <c r="M27" s="1043"/>
      <c r="Y27" s="124"/>
      <c r="AJ27" s="124"/>
    </row>
    <row r="28" spans="3:36">
      <c r="E28" s="1043"/>
      <c r="F28" s="1043"/>
      <c r="G28" s="1043"/>
      <c r="H28" s="1043"/>
      <c r="I28" s="1043"/>
      <c r="J28" s="1043"/>
      <c r="K28" s="1043"/>
      <c r="L28" s="1043"/>
      <c r="M28" s="1043"/>
      <c r="Y28" s="124"/>
      <c r="AJ28" s="124"/>
    </row>
    <row r="29" spans="3:36">
      <c r="E29" s="1043"/>
      <c r="F29" s="1043"/>
      <c r="G29" s="1043"/>
      <c r="H29" s="1043"/>
      <c r="I29" s="1043"/>
      <c r="J29" s="1043"/>
      <c r="K29" s="1043"/>
      <c r="L29" s="1043"/>
      <c r="M29" s="1043"/>
      <c r="Y29" s="124"/>
      <c r="AJ29" s="124"/>
    </row>
    <row r="30" spans="3:36">
      <c r="E30" s="1043"/>
      <c r="F30" s="1043"/>
      <c r="G30" s="1043"/>
      <c r="H30" s="1043"/>
      <c r="I30" s="1043"/>
      <c r="J30" s="1043"/>
      <c r="K30" s="1043"/>
      <c r="L30" s="1043"/>
      <c r="M30" s="1043"/>
      <c r="Y30" s="124"/>
      <c r="AJ30" s="124"/>
    </row>
    <row r="31" spans="3:36">
      <c r="E31" s="1043"/>
      <c r="F31" s="1043"/>
      <c r="G31" s="1043"/>
      <c r="H31" s="1043"/>
      <c r="I31" s="1043"/>
      <c r="J31" s="1043"/>
      <c r="K31" s="1043"/>
      <c r="L31" s="1043"/>
      <c r="M31" s="1043"/>
      <c r="Y31" s="124"/>
      <c r="AJ31" s="124"/>
    </row>
    <row r="32" spans="3:36">
      <c r="E32" s="1043"/>
      <c r="F32" s="1043"/>
      <c r="G32" s="1043"/>
      <c r="H32" s="1043"/>
      <c r="I32" s="1043"/>
      <c r="J32" s="1043"/>
      <c r="K32" s="1043"/>
      <c r="L32" s="1043"/>
      <c r="M32" s="1043"/>
      <c r="Y32" s="124"/>
      <c r="AJ32" s="124"/>
    </row>
    <row r="33" spans="2:36" ht="19" customHeight="1">
      <c r="E33" s="1043"/>
      <c r="F33" s="1043"/>
      <c r="G33" s="1043"/>
      <c r="H33" s="1043"/>
      <c r="I33" s="1043"/>
      <c r="J33" s="1043"/>
      <c r="K33" s="1043"/>
      <c r="L33" s="1043"/>
      <c r="M33" s="1043"/>
      <c r="Y33" s="124"/>
      <c r="AJ33" s="124"/>
    </row>
    <row r="34" spans="2:36" ht="18">
      <c r="B34" s="124"/>
      <c r="C34" s="124"/>
      <c r="D34" s="124"/>
      <c r="E34" s="1057" t="s">
        <v>959</v>
      </c>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row>
    <row r="35" spans="2:36">
      <c r="E35" s="1043" t="s">
        <v>955</v>
      </c>
      <c r="F35" s="1043"/>
      <c r="G35" s="1043"/>
      <c r="H35" s="1043"/>
      <c r="I35" s="1043"/>
      <c r="J35" s="1043"/>
      <c r="K35" s="1043"/>
      <c r="L35" s="1043"/>
      <c r="M35" s="1043"/>
      <c r="Y35" s="124"/>
      <c r="AJ35" s="124"/>
    </row>
    <row r="36" spans="2:36">
      <c r="Y36" s="124"/>
      <c r="AJ36" s="124"/>
    </row>
    <row r="37" spans="2:36">
      <c r="K37" s="1043"/>
      <c r="M37" s="1043"/>
      <c r="O37" s="1043"/>
      <c r="Q37" s="1043"/>
      <c r="S37" s="1043"/>
      <c r="U37" s="1043"/>
      <c r="W37" s="1043"/>
      <c r="Y37" s="124"/>
      <c r="AJ37" s="124"/>
    </row>
    <row r="38" spans="2:36">
      <c r="E38" s="681" t="s">
        <v>3</v>
      </c>
      <c r="G38" s="681" t="s">
        <v>395</v>
      </c>
      <c r="I38" s="681" t="s">
        <v>392</v>
      </c>
      <c r="K38" s="681" t="s">
        <v>38</v>
      </c>
      <c r="M38" s="681" t="s">
        <v>18</v>
      </c>
      <c r="O38" s="681" t="s">
        <v>305</v>
      </c>
      <c r="Q38" s="681" t="s">
        <v>418</v>
      </c>
      <c r="S38" s="681" t="s">
        <v>42</v>
      </c>
      <c r="U38" s="681" t="s">
        <v>1</v>
      </c>
      <c r="W38" s="681" t="s">
        <v>59</v>
      </c>
      <c r="X38" s="1058"/>
      <c r="Y38" s="124"/>
      <c r="AJ38" s="124"/>
    </row>
    <row r="39" spans="2:36">
      <c r="E39" s="681" t="s">
        <v>49</v>
      </c>
      <c r="G39" s="681" t="s">
        <v>396</v>
      </c>
      <c r="I39" s="681" t="s">
        <v>393</v>
      </c>
      <c r="K39" s="681" t="s">
        <v>22</v>
      </c>
      <c r="M39" s="681" t="s">
        <v>29</v>
      </c>
      <c r="O39" s="681" t="s">
        <v>301</v>
      </c>
      <c r="S39" s="681" t="s">
        <v>48</v>
      </c>
      <c r="U39" s="681" t="s">
        <v>0</v>
      </c>
      <c r="W39" s="681" t="s">
        <v>58</v>
      </c>
      <c r="X39" s="1058"/>
      <c r="Y39" s="124"/>
      <c r="AJ39" s="124"/>
    </row>
    <row r="40" spans="2:36">
      <c r="E40" s="681" t="s">
        <v>50</v>
      </c>
      <c r="G40" s="681" t="s">
        <v>397</v>
      </c>
      <c r="I40" s="681" t="s">
        <v>394</v>
      </c>
      <c r="K40" s="681" t="s">
        <v>23</v>
      </c>
      <c r="M40" s="681" t="s">
        <v>52</v>
      </c>
      <c r="O40" s="681" t="s">
        <v>303</v>
      </c>
      <c r="S40" s="681" t="s">
        <v>40</v>
      </c>
      <c r="Y40" s="124"/>
      <c r="AJ40" s="124"/>
    </row>
    <row r="41" spans="2:36">
      <c r="E41" s="681" t="s">
        <v>51</v>
      </c>
      <c r="G41" s="681" t="s">
        <v>398</v>
      </c>
      <c r="M41" s="681" t="s">
        <v>284</v>
      </c>
      <c r="O41" s="681" t="s">
        <v>35</v>
      </c>
      <c r="Y41" s="124"/>
      <c r="AJ41" s="124"/>
    </row>
    <row r="42" spans="2:36">
      <c r="G42" s="681" t="s">
        <v>399</v>
      </c>
      <c r="M42" s="681" t="s">
        <v>28</v>
      </c>
      <c r="O42" s="681" t="s">
        <v>36</v>
      </c>
      <c r="Y42" s="124"/>
      <c r="AJ42" s="124"/>
    </row>
    <row r="43" spans="2:36">
      <c r="O43" s="681" t="s">
        <v>11</v>
      </c>
      <c r="Y43" s="124"/>
      <c r="AJ43" s="124"/>
    </row>
    <row r="44" spans="2:36">
      <c r="O44" s="681" t="s">
        <v>37</v>
      </c>
      <c r="Y44" s="124"/>
      <c r="AJ44" s="124"/>
    </row>
    <row r="45" spans="2:36">
      <c r="O45" s="681" t="s">
        <v>304</v>
      </c>
      <c r="Y45" s="124"/>
      <c r="AJ45" s="124"/>
    </row>
    <row r="46" spans="2:36">
      <c r="O46" s="681" t="s">
        <v>306</v>
      </c>
      <c r="Y46" s="124"/>
      <c r="AJ46" s="124"/>
    </row>
    <row r="47" spans="2:36">
      <c r="O47" s="681" t="s">
        <v>43</v>
      </c>
      <c r="Y47" s="124"/>
      <c r="AJ47" s="124"/>
    </row>
    <row r="48" spans="2:36">
      <c r="O48" s="681" t="s">
        <v>44</v>
      </c>
      <c r="Y48" s="124"/>
      <c r="AJ48" s="124"/>
    </row>
    <row r="49" spans="15:36">
      <c r="O49" s="681" t="s">
        <v>302</v>
      </c>
      <c r="Y49" s="124"/>
      <c r="AJ49" s="124"/>
    </row>
    <row r="50" spans="15:36">
      <c r="O50" s="681" t="s">
        <v>56</v>
      </c>
      <c r="Y50" s="124"/>
      <c r="AJ50" s="124"/>
    </row>
    <row r="51" spans="15:36">
      <c r="Y51" s="124"/>
      <c r="AJ51" s="124"/>
    </row>
    <row r="52" spans="15:36">
      <c r="Y52" s="124"/>
      <c r="AJ52" s="124"/>
    </row>
    <row r="53" spans="15:36">
      <c r="Y53" s="124"/>
      <c r="AJ53" s="124"/>
    </row>
    <row r="54" spans="15:36">
      <c r="Y54" s="124"/>
      <c r="AJ54" s="124"/>
    </row>
    <row r="55" spans="15:36">
      <c r="Y55" s="124"/>
      <c r="AJ55" s="124"/>
    </row>
    <row r="56" spans="15:36">
      <c r="Y56" s="124"/>
      <c r="AJ56" s="124"/>
    </row>
    <row r="57" spans="15:36">
      <c r="Y57" s="124"/>
      <c r="AJ57" s="124"/>
    </row>
    <row r="58" spans="15:36">
      <c r="Y58" s="124"/>
      <c r="AJ58" s="124"/>
    </row>
    <row r="59" spans="15:36">
      <c r="Y59" s="124"/>
    </row>
  </sheetData>
  <sortState xmlns:xlrd2="http://schemas.microsoft.com/office/spreadsheetml/2017/richdata2" ref="AB24:AB30">
    <sortCondition ref="AB24:AB30" customList="Lundi,Mardi,Mercredi,Jeudi,Vendredi,Samedi,Dimanche"/>
  </sortState>
  <phoneticPr fontId="2" type="noConversion"/>
  <hyperlinks>
    <hyperlink ref="F1" location="SOMMAIRE!A1" display="SOMMAIRE" xr:uid="{7A764147-517F-7242-B263-42398D13FFDE}"/>
  </hyperlinks>
  <pageMargins left="0.7" right="0.7" top="0.75" bottom="0.75" header="0.3" footer="0.3"/>
  <drawing r:id="rId11"/>
  <tableParts count="15">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rgb="FFFF2F92"/>
  </sheetPr>
  <dimension ref="A1:AV82"/>
  <sheetViews>
    <sheetView showGridLines="0" zoomScale="90" zoomScaleNormal="90" workbookViewId="0">
      <selection activeCell="G1" sqref="G1"/>
    </sheetView>
  </sheetViews>
  <sheetFormatPr baseColWidth="10" defaultColWidth="11.83203125" defaultRowHeight="13"/>
  <cols>
    <col min="1" max="1" width="9" style="127" customWidth="1"/>
    <col min="2" max="2" width="3.5" style="11" customWidth="1"/>
    <col min="3" max="3" width="9" style="11" customWidth="1"/>
    <col min="4" max="4" width="4.83203125" style="11" customWidth="1"/>
    <col min="5" max="5" width="6.83203125" style="11" customWidth="1"/>
    <col min="6" max="6" width="1.83203125" style="11" customWidth="1"/>
    <col min="7" max="7" width="22" style="1" customWidth="1"/>
    <col min="8" max="8" width="20.33203125" style="1" bestFit="1" customWidth="1"/>
    <col min="9" max="12" width="15.83203125" style="1" customWidth="1"/>
    <col min="13" max="13" width="18.1640625" style="411" customWidth="1"/>
    <col min="14" max="14" width="16" style="411" customWidth="1"/>
    <col min="15" max="15" width="10.83203125" style="1" customWidth="1"/>
    <col min="16" max="16" width="12.5" style="1" customWidth="1"/>
    <col min="17" max="17" width="10.1640625" style="1" hidden="1" customWidth="1"/>
    <col min="18" max="18" width="12.6640625" style="1" customWidth="1"/>
    <col min="19" max="19" width="53" style="1" customWidth="1"/>
    <col min="20" max="20" width="0.33203125" style="1" hidden="1" customWidth="1"/>
    <col min="21" max="34" width="1.33203125" style="1" customWidth="1"/>
    <col min="35" max="47" width="11.83203125" style="1"/>
    <col min="48" max="48" width="13.5" style="1" customWidth="1"/>
    <col min="49" max="16384" width="11.83203125" style="1"/>
  </cols>
  <sheetData>
    <row r="1" spans="1:20" s="127" customFormat="1" ht="63.75" customHeight="1">
      <c r="A1" s="409"/>
      <c r="B1" s="409"/>
      <c r="C1" s="409"/>
      <c r="D1" s="409"/>
      <c r="E1" s="409"/>
      <c r="F1" s="409"/>
      <c r="G1" s="1165" t="s">
        <v>980</v>
      </c>
      <c r="M1" s="410"/>
      <c r="N1" s="410"/>
      <c r="R1" s="1286" t="s">
        <v>382</v>
      </c>
      <c r="S1" s="1286"/>
    </row>
    <row r="3" spans="1:20" s="53" customFormat="1">
      <c r="A3" s="127"/>
      <c r="B3" s="11"/>
      <c r="C3" s="75"/>
      <c r="D3" s="11"/>
      <c r="E3" s="11"/>
      <c r="F3" s="11"/>
      <c r="G3" s="1"/>
      <c r="M3" s="412"/>
      <c r="N3" s="412"/>
      <c r="S3" s="1"/>
      <c r="T3" s="1"/>
    </row>
    <row r="4" spans="1:20" s="53" customFormat="1" ht="6" customHeight="1">
      <c r="A4" s="127"/>
      <c r="B4" s="11"/>
      <c r="C4" s="1"/>
      <c r="D4" s="11"/>
      <c r="E4" s="11"/>
      <c r="F4" s="11"/>
      <c r="G4" s="1"/>
      <c r="M4" s="412"/>
      <c r="N4" s="412"/>
      <c r="S4" s="1"/>
      <c r="T4" s="1"/>
    </row>
    <row r="5" spans="1:20" s="53" customFormat="1">
      <c r="A5" s="127"/>
      <c r="B5" s="11"/>
      <c r="F5" s="11"/>
      <c r="G5" s="1"/>
      <c r="M5" s="412"/>
      <c r="N5" s="412"/>
      <c r="S5" s="1"/>
      <c r="T5" s="1"/>
    </row>
    <row r="6" spans="1:20" s="53" customFormat="1" ht="26" customHeight="1">
      <c r="A6" s="127"/>
      <c r="B6" s="11"/>
      <c r="C6" s="413"/>
      <c r="D6" s="11"/>
      <c r="E6" s="11"/>
      <c r="F6" s="11"/>
      <c r="G6" s="1"/>
      <c r="M6" s="412"/>
      <c r="N6" s="412"/>
      <c r="S6" s="1"/>
      <c r="T6" s="1"/>
    </row>
    <row r="7" spans="1:20" s="53" customFormat="1" ht="26" customHeight="1">
      <c r="A7" s="127"/>
      <c r="B7" s="11"/>
      <c r="C7" s="1145" t="s">
        <v>378</v>
      </c>
      <c r="D7" s="11"/>
      <c r="E7" s="11"/>
      <c r="F7" s="11"/>
      <c r="G7" s="1"/>
      <c r="M7" s="412"/>
      <c r="N7" s="412"/>
      <c r="S7" s="1"/>
      <c r="T7" s="1"/>
    </row>
    <row r="8" spans="1:20" s="53" customFormat="1">
      <c r="A8" s="127"/>
      <c r="B8" s="11"/>
      <c r="D8" s="11"/>
      <c r="E8" s="11"/>
      <c r="F8" s="11"/>
      <c r="M8" s="412"/>
      <c r="N8" s="412"/>
      <c r="S8" s="1"/>
      <c r="T8" s="1"/>
    </row>
    <row r="9" spans="1:20" s="53" customFormat="1" ht="40" customHeight="1">
      <c r="A9" s="127"/>
      <c r="B9" s="11"/>
      <c r="C9" s="1357" t="s">
        <v>351</v>
      </c>
      <c r="D9" s="1357"/>
      <c r="E9" s="1357"/>
      <c r="F9" s="11"/>
      <c r="G9" s="414" t="s">
        <v>545</v>
      </c>
      <c r="M9" s="412"/>
      <c r="N9" s="412"/>
      <c r="S9" s="1"/>
      <c r="T9" s="1"/>
    </row>
    <row r="10" spans="1:20" s="53" customFormat="1" ht="18">
      <c r="A10" s="127"/>
      <c r="B10" s="11"/>
      <c r="C10" s="168"/>
      <c r="D10" s="168"/>
      <c r="E10" s="168"/>
      <c r="F10" s="11"/>
      <c r="G10" s="1"/>
      <c r="M10" s="412"/>
      <c r="N10" s="412"/>
      <c r="S10" s="1"/>
      <c r="T10" s="1"/>
    </row>
    <row r="11" spans="1:20" s="53" customFormat="1" ht="19" customHeight="1">
      <c r="A11" s="127"/>
      <c r="B11" s="11"/>
      <c r="C11" s="1357" t="s">
        <v>374</v>
      </c>
      <c r="D11" s="1357"/>
      <c r="E11" s="1357"/>
      <c r="F11" s="11"/>
      <c r="G11" s="470"/>
      <c r="H11" s="68"/>
      <c r="I11" s="68"/>
      <c r="J11" s="68"/>
      <c r="K11" s="68"/>
      <c r="L11" s="68"/>
      <c r="M11" s="68"/>
      <c r="N11" s="68"/>
      <c r="O11" s="68"/>
      <c r="P11" s="68"/>
      <c r="Q11" s="68"/>
      <c r="R11" s="68"/>
      <c r="S11" s="860"/>
      <c r="T11" s="1"/>
    </row>
    <row r="12" spans="1:20" s="53" customFormat="1" ht="19" customHeight="1">
      <c r="A12" s="127"/>
      <c r="B12" s="11"/>
      <c r="C12" s="1002"/>
      <c r="D12" s="1002"/>
      <c r="E12" s="1002"/>
      <c r="F12" s="11"/>
      <c r="G12" s="470"/>
      <c r="H12" s="68"/>
      <c r="I12" s="68"/>
      <c r="J12" s="68"/>
      <c r="K12" s="68"/>
      <c r="L12" s="68"/>
      <c r="M12" s="68"/>
      <c r="N12" s="68"/>
      <c r="O12" s="68"/>
      <c r="P12" s="68"/>
      <c r="Q12" s="68"/>
      <c r="R12" s="68"/>
      <c r="S12" s="1003"/>
      <c r="T12" s="1"/>
    </row>
    <row r="13" spans="1:20" s="53" customFormat="1" ht="18">
      <c r="A13" s="127"/>
      <c r="B13" s="11"/>
      <c r="C13" s="11"/>
      <c r="D13" s="11"/>
      <c r="E13" s="11"/>
      <c r="F13" s="11"/>
      <c r="G13" s="155" t="s">
        <v>352</v>
      </c>
      <c r="H13" s="126"/>
      <c r="I13" s="126"/>
      <c r="J13" s="126"/>
      <c r="K13" s="126"/>
      <c r="L13" s="126"/>
      <c r="M13" s="126"/>
      <c r="N13" s="68"/>
      <c r="O13" s="68"/>
      <c r="P13" s="68"/>
      <c r="Q13" s="68"/>
      <c r="R13" s="68"/>
      <c r="S13" s="406"/>
      <c r="T13" s="1"/>
    </row>
    <row r="14" spans="1:20" s="53" customFormat="1" ht="18" customHeight="1">
      <c r="A14" s="127"/>
      <c r="B14" s="11"/>
      <c r="C14" s="11"/>
      <c r="D14" s="11"/>
      <c r="E14" s="11"/>
      <c r="F14" s="11"/>
      <c r="G14" s="155" t="s">
        <v>258</v>
      </c>
      <c r="H14" s="126"/>
      <c r="I14" s="126"/>
      <c r="J14" s="126"/>
      <c r="K14" s="126"/>
      <c r="L14" s="126"/>
      <c r="M14" s="126"/>
      <c r="N14" s="68"/>
      <c r="O14" s="68"/>
      <c r="P14" s="68"/>
      <c r="Q14" s="68"/>
      <c r="R14" s="68"/>
      <c r="S14" s="406"/>
    </row>
    <row r="15" spans="1:20" s="53" customFormat="1">
      <c r="A15" s="127"/>
      <c r="B15" s="11"/>
      <c r="C15" s="11"/>
      <c r="D15" s="11"/>
      <c r="E15" s="11"/>
      <c r="F15" s="11"/>
      <c r="S15" s="406"/>
      <c r="T15" s="1"/>
    </row>
    <row r="16" spans="1:20" s="53" customFormat="1" ht="16" hidden="1">
      <c r="A16" s="127"/>
      <c r="B16" s="11"/>
      <c r="C16" s="11"/>
      <c r="D16" s="11"/>
      <c r="E16" s="11"/>
      <c r="F16" s="11"/>
      <c r="G16" s="416" t="s">
        <v>259</v>
      </c>
      <c r="H16" s="417"/>
      <c r="I16" s="418" t="s">
        <v>260</v>
      </c>
      <c r="J16" s="417" t="s">
        <v>261</v>
      </c>
      <c r="K16" s="68"/>
      <c r="L16" s="68"/>
      <c r="M16" s="68"/>
      <c r="N16" s="68"/>
      <c r="O16" s="68"/>
      <c r="P16" s="68"/>
      <c r="Q16" s="68"/>
      <c r="R16" s="68"/>
      <c r="S16" s="406"/>
      <c r="T16" s="1"/>
    </row>
    <row r="17" spans="1:20" s="53" customFormat="1" ht="39" customHeight="1">
      <c r="A17" s="127"/>
      <c r="B17" s="11"/>
      <c r="C17" s="11"/>
      <c r="D17" s="11"/>
      <c r="E17" s="11"/>
      <c r="F17" s="11"/>
      <c r="G17" s="424" t="s">
        <v>262</v>
      </c>
      <c r="H17" s="425"/>
      <c r="I17" s="1181">
        <v>0.05</v>
      </c>
      <c r="J17" s="1358" t="s">
        <v>263</v>
      </c>
      <c r="K17" s="1358"/>
      <c r="L17" s="1358"/>
      <c r="M17" s="1358"/>
      <c r="N17" s="1358"/>
      <c r="O17" s="1358"/>
      <c r="P17" s="1358"/>
      <c r="Q17" s="1358"/>
      <c r="R17" s="1358"/>
      <c r="S17" s="406"/>
      <c r="T17" s="1"/>
    </row>
    <row r="18" spans="1:20" s="53" customFormat="1" ht="21" customHeight="1">
      <c r="A18" s="127"/>
      <c r="B18" s="11"/>
      <c r="C18" s="11"/>
      <c r="D18" s="11"/>
      <c r="E18" s="11"/>
      <c r="F18" s="11"/>
      <c r="J18" s="619"/>
      <c r="K18" s="619"/>
      <c r="L18" s="619"/>
      <c r="M18" s="619"/>
      <c r="N18" s="619"/>
      <c r="O18" s="619"/>
      <c r="P18" s="619"/>
      <c r="Q18" s="633"/>
      <c r="R18" s="619"/>
      <c r="S18" s="620"/>
      <c r="T18" s="1"/>
    </row>
    <row r="19" spans="1:20" s="53" customFormat="1" ht="16">
      <c r="A19" s="127"/>
      <c r="B19" s="11"/>
      <c r="C19" s="11"/>
      <c r="D19" s="11"/>
      <c r="E19" s="11"/>
      <c r="F19" s="11"/>
      <c r="P19" s="68"/>
      <c r="Q19" s="68"/>
      <c r="R19" s="68"/>
      <c r="S19" s="406"/>
      <c r="T19" s="1"/>
    </row>
    <row r="20" spans="1:20" s="53" customFormat="1" ht="20">
      <c r="A20" s="127"/>
      <c r="B20" s="11"/>
      <c r="C20" s="11"/>
      <c r="D20" s="11"/>
      <c r="E20" s="11"/>
      <c r="F20" s="11"/>
      <c r="G20" s="1186" t="s">
        <v>991</v>
      </c>
      <c r="H20" s="1187"/>
      <c r="I20" s="1356" t="s">
        <v>620</v>
      </c>
      <c r="J20" s="1356"/>
      <c r="K20" s="1356"/>
      <c r="L20" s="1006" t="s">
        <v>946</v>
      </c>
      <c r="M20" s="1008"/>
      <c r="N20" s="1030" t="s">
        <v>950</v>
      </c>
      <c r="P20" s="68"/>
      <c r="Q20" s="68"/>
      <c r="R20" s="68"/>
      <c r="S20" s="406"/>
      <c r="T20" s="1"/>
    </row>
    <row r="21" spans="1:20" s="53" customFormat="1" ht="16">
      <c r="A21" s="127"/>
      <c r="B21" s="11"/>
      <c r="C21" s="11"/>
      <c r="D21" s="11"/>
      <c r="E21" s="11"/>
      <c r="F21" s="11"/>
      <c r="G21" s="143"/>
      <c r="H21" s="421"/>
      <c r="I21" s="68"/>
      <c r="J21" s="423"/>
      <c r="K21" s="422"/>
      <c r="L21" s="68"/>
      <c r="S21" s="406"/>
      <c r="T21" s="1"/>
    </row>
    <row r="22" spans="1:20" s="53" customFormat="1" ht="20">
      <c r="A22" s="127"/>
      <c r="B22" s="11"/>
      <c r="C22" s="11"/>
      <c r="D22" s="11"/>
      <c r="E22" s="11"/>
      <c r="F22" s="11"/>
      <c r="G22" s="143"/>
      <c r="H22" s="421"/>
      <c r="I22" s="663">
        <f>COUNTA(DONNEES!L15:L334)</f>
        <v>320</v>
      </c>
      <c r="J22" s="430" t="s">
        <v>254</v>
      </c>
      <c r="K22" s="431"/>
      <c r="L22" s="428"/>
      <c r="N22" s="432">
        <f>IF(I23&gt;0,IF(I23&gt;=I22*0.4,1,0),"#N/A")</f>
        <v>1</v>
      </c>
      <c r="O22" s="433" t="str">
        <f>IF(N22=1,"Les effectifs valides représentent plus de 40 % des effectifs totaux.",IF(N22=0,"Les effectifs valides représentent moins de 40 % des effectifs totaux."," "))</f>
        <v>Les effectifs valides représentent plus de 40 % des effectifs totaux.</v>
      </c>
      <c r="S22" s="632"/>
      <c r="T22" s="1"/>
    </row>
    <row r="23" spans="1:20" s="53" customFormat="1" ht="20">
      <c r="A23" s="127"/>
      <c r="B23" s="11"/>
      <c r="C23" s="11"/>
      <c r="D23" s="11"/>
      <c r="E23" s="11"/>
      <c r="F23" s="11"/>
      <c r="H23" s="662" t="s">
        <v>889</v>
      </c>
      <c r="I23" s="661">
        <f>COUNTIFS(DONNEES!L15:L334,'INDIC. 1 Ecart Rémunération'!H24)</f>
        <v>320</v>
      </c>
      <c r="J23" s="430" t="s">
        <v>255</v>
      </c>
      <c r="K23" s="431"/>
      <c r="L23" s="428"/>
      <c r="N23" s="434" cm="1">
        <f t="array" ref="N23">IF(N22=1,ABS(ROUND(100*INDEX(R29:R65,MAX(Q29:Q65)),1)),IF(N22=0,"INCALCULABLE","#N/A"))</f>
        <v>3.7</v>
      </c>
      <c r="O23" s="433" t="str" cm="1">
        <f t="array" ref="O23">IF(AND(INDEX(R29:R65,MAX(Q29:Q65))&gt;0,N22=1),"Un écart de rémunération est constaté en faveur des hommes.",IF(AND(INDEX(R29:R65,MAX(Q29:Q65))&lt;0,N22=1),"Un écart de rémunération est constaté en faveur des femmes."," "))</f>
        <v>Un écart de rémunération est constaté en faveur des hommes.</v>
      </c>
      <c r="S23" s="406"/>
      <c r="T23" s="1"/>
    </row>
    <row r="24" spans="1:20" s="53" customFormat="1" ht="20">
      <c r="A24" s="127"/>
      <c r="B24" s="11"/>
      <c r="C24" s="11"/>
      <c r="D24" s="11"/>
      <c r="E24" s="11"/>
      <c r="F24" s="11"/>
      <c r="G24" s="635" t="s">
        <v>417</v>
      </c>
      <c r="H24" s="634" t="s">
        <v>418</v>
      </c>
      <c r="J24" s="430" t="s">
        <v>256</v>
      </c>
      <c r="K24" s="431"/>
      <c r="L24" s="428"/>
      <c r="N24" s="435">
        <f>VLOOKUP(N23,'Note INDEX'!C41:D62,2)</f>
        <v>36</v>
      </c>
      <c r="O24" s="433"/>
      <c r="S24" s="406"/>
      <c r="T24" s="1"/>
    </row>
    <row r="25" spans="1:20" s="53" customFormat="1">
      <c r="A25" s="127"/>
      <c r="B25" s="11"/>
      <c r="C25" s="11"/>
      <c r="D25" s="11"/>
      <c r="E25" s="11"/>
      <c r="F25" s="11"/>
      <c r="S25" s="406"/>
      <c r="T25" s="1"/>
    </row>
    <row r="26" spans="1:20" s="53" customFormat="1" ht="18">
      <c r="A26" s="127"/>
      <c r="B26" s="11"/>
      <c r="C26" s="11"/>
      <c r="D26" s="11"/>
      <c r="E26" s="11"/>
      <c r="F26" s="11"/>
      <c r="G26" s="634"/>
      <c r="H26" s="634"/>
      <c r="I26" s="664" t="s">
        <v>621</v>
      </c>
      <c r="J26" s="664" t="s">
        <v>14</v>
      </c>
      <c r="K26" s="634"/>
      <c r="L26" s="634"/>
      <c r="M26" s="1359" t="s">
        <v>242</v>
      </c>
      <c r="N26" s="1359" t="s">
        <v>243</v>
      </c>
      <c r="O26" s="1359" t="s">
        <v>632</v>
      </c>
      <c r="P26" s="1359" t="s">
        <v>246</v>
      </c>
      <c r="Q26" s="667"/>
      <c r="R26" s="1359" t="s">
        <v>247</v>
      </c>
      <c r="S26" s="406"/>
      <c r="T26" s="1"/>
    </row>
    <row r="27" spans="1:20" s="53" customFormat="1" ht="18">
      <c r="A27" s="127"/>
      <c r="B27" s="11"/>
      <c r="C27" s="11"/>
      <c r="D27" s="11"/>
      <c r="E27" s="11"/>
      <c r="F27" s="11"/>
      <c r="G27" s="1182"/>
      <c r="H27" s="1182"/>
      <c r="I27" s="640" t="s">
        <v>890</v>
      </c>
      <c r="J27" s="640"/>
      <c r="K27" s="640" t="s">
        <v>628</v>
      </c>
      <c r="L27" s="640"/>
      <c r="M27" s="1360"/>
      <c r="N27" s="1360"/>
      <c r="O27" s="1360"/>
      <c r="P27" s="1360"/>
      <c r="Q27" s="667"/>
      <c r="R27" s="1360"/>
      <c r="S27" s="406"/>
      <c r="T27" s="1"/>
    </row>
    <row r="28" spans="1:20" s="53" customFormat="1" ht="18">
      <c r="A28" s="127"/>
      <c r="B28" s="11"/>
      <c r="C28" s="11"/>
      <c r="D28" s="11"/>
      <c r="E28" s="11"/>
      <c r="F28" s="11"/>
      <c r="G28" s="1182" t="s">
        <v>619</v>
      </c>
      <c r="H28" s="1182" t="s">
        <v>240</v>
      </c>
      <c r="I28" s="636" t="s">
        <v>47</v>
      </c>
      <c r="J28" s="636" t="s">
        <v>27</v>
      </c>
      <c r="K28" s="636" t="s">
        <v>47</v>
      </c>
      <c r="L28" s="636" t="s">
        <v>27</v>
      </c>
      <c r="M28" s="1360"/>
      <c r="N28" s="1360"/>
      <c r="O28" s="1360"/>
      <c r="P28" s="1361"/>
      <c r="Q28" s="668"/>
      <c r="R28" s="1361"/>
      <c r="S28" s="406"/>
      <c r="T28" s="1"/>
    </row>
    <row r="29" spans="1:20" s="53" customFormat="1" ht="20">
      <c r="A29" s="127"/>
      <c r="B29" s="11"/>
      <c r="C29" s="11"/>
      <c r="D29" s="11"/>
      <c r="E29" s="11"/>
      <c r="F29" s="11"/>
      <c r="G29" s="1182" t="s">
        <v>392</v>
      </c>
      <c r="H29" s="1182" t="s">
        <v>618</v>
      </c>
      <c r="I29" s="1183">
        <v>34754.652378003397</v>
      </c>
      <c r="J29" s="1183">
        <v>32810.054834084971</v>
      </c>
      <c r="K29" s="1184">
        <v>20</v>
      </c>
      <c r="L29" s="1184">
        <v>33</v>
      </c>
      <c r="M29" s="660">
        <f t="shared" ref="M29:M51" si="0">IF(AND(I29&gt;0,J29&gt;0),(J29-I29)/J29," ")</f>
        <v>-5.9268341785831645E-2</v>
      </c>
      <c r="N29" s="660">
        <f t="shared" ref="N29:N50" si="1">IF(AND(I30&amp;J30&amp;K30&amp;L30&lt;&gt;"",ISNUMBER(M29)),SIGN(M29)*MAX(0,ABS(M29)-$I$17)," ")</f>
        <v>-9.2683417858316422E-3</v>
      </c>
      <c r="O29" s="1044">
        <f>IF(I30&amp;J30&amp;K30&amp;L30="","",IF(AND(K29&gt;=3,L29&gt;=3),1,0))</f>
        <v>1</v>
      </c>
      <c r="P29" s="657">
        <f>IF(AND(I29&amp;J29&amp;K29&amp;L29&lt;&gt;"",I30&amp;J30&amp;K30&amp;L30=""),SUM(P28:$P$28),IF(I30&amp;J30&amp;K30&amp;L30="","",O29*SUM(K29:L29)))</f>
        <v>53</v>
      </c>
      <c r="Q29" s="657">
        <v>1</v>
      </c>
      <c r="R29" s="658" cm="1">
        <f t="array" ref="R29">IF(AND(COUNT(I29:L29)=4,I30&amp;J30&amp;K30&amp;L30=""),SUM(R28:$R$28),IF(I30&amp;J30&amp;K30&amp;L30="","",IF(AND(O29=1,COUNT(I29:L29)=4),N29*P29/INDEX($P$29:$P$65,MAX($Q$29:$Q$65)),"")))</f>
        <v>-1.5350691082783659E-3</v>
      </c>
      <c r="S29" s="406"/>
      <c r="T29" s="1"/>
    </row>
    <row r="30" spans="1:20" s="53" customFormat="1" ht="20">
      <c r="A30" s="127"/>
      <c r="B30" s="11"/>
      <c r="C30" s="11"/>
      <c r="D30" s="11"/>
      <c r="E30" s="11"/>
      <c r="F30" s="11"/>
      <c r="G30" s="1182"/>
      <c r="H30" s="1182" t="s">
        <v>250</v>
      </c>
      <c r="I30" s="1183">
        <v>37412.430843039023</v>
      </c>
      <c r="J30" s="1183">
        <v>25656.808146952546</v>
      </c>
      <c r="K30" s="1184">
        <v>16</v>
      </c>
      <c r="L30" s="1184">
        <v>24</v>
      </c>
      <c r="M30" s="660">
        <f t="shared" si="0"/>
        <v>-0.45818726276295524</v>
      </c>
      <c r="N30" s="660">
        <f t="shared" si="1"/>
        <v>-0.40818726276295525</v>
      </c>
      <c r="O30" s="1044">
        <f t="shared" ref="O30:O65" si="2">IF(I31&amp;J31&amp;K31&amp;L31="","",IF(AND(K30&gt;=3,L30&gt;=3),1,0))</f>
        <v>1</v>
      </c>
      <c r="P30" s="657">
        <f>IF(AND(I30&amp;J30&amp;K30&amp;L30&lt;&gt;"",I31&amp;J31&amp;K31&amp;L31=""),SUM(P$28:$P29),IF(I31&amp;J31&amp;K31&amp;L31="","",O30*SUM(K30:L30)))</f>
        <v>40</v>
      </c>
      <c r="Q30" s="657">
        <f t="shared" ref="Q30:Q51" si="3">IF(H29="","",Q29+1)</f>
        <v>2</v>
      </c>
      <c r="R30" s="658" cm="1">
        <f t="array" ref="R30">IF(AND(COUNT(I30:L30)=4,I31&amp;J31&amp;K31&amp;L31=""),SUM(R$28:$R29),IF(I31&amp;J31&amp;K31&amp;L31="","",IF(AND(O30=1,COUNT(I30:L30)=4),N30*P30/INDEX($P$29:$P$65,MAX($Q$29:$Q$65)),"")))</f>
        <v>-5.1023407845369406E-2</v>
      </c>
      <c r="S30" s="406"/>
      <c r="T30" s="1"/>
    </row>
    <row r="31" spans="1:20" s="53" customFormat="1" ht="20">
      <c r="A31" s="127"/>
      <c r="B31" s="11"/>
      <c r="C31" s="11"/>
      <c r="D31" s="11"/>
      <c r="E31" s="11"/>
      <c r="F31" s="11"/>
      <c r="G31" s="1182"/>
      <c r="H31" s="1182" t="s">
        <v>251</v>
      </c>
      <c r="I31" s="1183">
        <v>34251.233126675492</v>
      </c>
      <c r="J31" s="1183">
        <v>36891.818840616637</v>
      </c>
      <c r="K31" s="1184">
        <v>19</v>
      </c>
      <c r="L31" s="1184">
        <v>28</v>
      </c>
      <c r="M31" s="660">
        <f t="shared" si="0"/>
        <v>7.1576457787273701E-2</v>
      </c>
      <c r="N31" s="660">
        <f t="shared" si="1"/>
        <v>2.1576457787273698E-2</v>
      </c>
      <c r="O31" s="1044">
        <f t="shared" si="2"/>
        <v>1</v>
      </c>
      <c r="P31" s="657">
        <f>IF(AND(I31&amp;J31&amp;K31&amp;L31&lt;&gt;"",I32&amp;J32&amp;K32&amp;L32=""),SUM(P$28:$P30),IF(I32&amp;J32&amp;K32&amp;L32="","",O31*SUM(K31:L31)))</f>
        <v>47</v>
      </c>
      <c r="Q31" s="657">
        <f t="shared" si="3"/>
        <v>3</v>
      </c>
      <c r="R31" s="658" cm="1">
        <f t="array" ref="R31">IF(AND(COUNT(I31:L31)=4,I32&amp;J32&amp;K32&amp;L32=""),SUM(R$28:$R30),IF(I32&amp;J32&amp;K32&amp;L32="","",IF(AND(O31=1,COUNT(I31:L31)=4),N31*P31/INDEX($P$29:$P$65,MAX($Q$29:$Q$65)),"")))</f>
        <v>3.1690422375058244E-3</v>
      </c>
      <c r="S31" s="406"/>
      <c r="T31" s="1"/>
    </row>
    <row r="32" spans="1:20" s="53" customFormat="1" ht="20">
      <c r="A32" s="127"/>
      <c r="B32" s="11"/>
      <c r="C32" s="11"/>
      <c r="D32" s="11"/>
      <c r="E32" s="11"/>
      <c r="F32" s="11"/>
      <c r="G32" s="1182"/>
      <c r="H32" s="1182" t="s">
        <v>252</v>
      </c>
      <c r="I32" s="1183">
        <v>27850.046488435408</v>
      </c>
      <c r="J32" s="1183">
        <v>37416.150743185142</v>
      </c>
      <c r="K32" s="1184">
        <v>20</v>
      </c>
      <c r="L32" s="1184">
        <v>50</v>
      </c>
      <c r="M32" s="660">
        <f t="shared" si="0"/>
        <v>0.25566778155265141</v>
      </c>
      <c r="N32" s="660">
        <f t="shared" si="1"/>
        <v>0.20566778155265142</v>
      </c>
      <c r="O32" s="1044">
        <f t="shared" si="2"/>
        <v>1</v>
      </c>
      <c r="P32" s="665">
        <f>IF(AND(I32&amp;J32&amp;K32&amp;L32&lt;&gt;"",I33&amp;J33&amp;K33&amp;L33=""),SUM(P$28:$P31),IF(I33&amp;J33&amp;K33&amp;L33="","",O32*SUM(K32:L32)))</f>
        <v>70</v>
      </c>
      <c r="Q32" s="665">
        <f t="shared" si="3"/>
        <v>4</v>
      </c>
      <c r="R32" s="666" cm="1">
        <f t="array" ref="R32">IF(AND(COUNT(I32:L32)=4,I33&amp;J33&amp;K33&amp;L33=""),SUM(R$28:$R31),IF(I33&amp;J33&amp;K33&amp;L33="","",IF(AND(O32=1,COUNT(I32:L32)=4),N32*P32/INDEX($P$29:$P$65,MAX($Q$29:$Q$65)),"")))</f>
        <v>4.4989827214642494E-2</v>
      </c>
      <c r="S32" s="406"/>
      <c r="T32" s="1"/>
    </row>
    <row r="33" spans="1:48" s="53" customFormat="1" ht="20">
      <c r="A33" s="127"/>
      <c r="B33" s="11"/>
      <c r="C33" s="11"/>
      <c r="D33" s="11"/>
      <c r="E33" s="11"/>
      <c r="F33" s="11"/>
      <c r="G33" s="1182" t="s">
        <v>393</v>
      </c>
      <c r="H33" s="1182" t="s">
        <v>618</v>
      </c>
      <c r="I33" s="1183">
        <v>30770.750902855514</v>
      </c>
      <c r="J33" s="1183">
        <v>50662.051596220088</v>
      </c>
      <c r="K33" s="1184">
        <v>4</v>
      </c>
      <c r="L33" s="1184">
        <v>9</v>
      </c>
      <c r="M33" s="660">
        <f t="shared" si="0"/>
        <v>0.39262722425652163</v>
      </c>
      <c r="N33" s="660">
        <f t="shared" si="1"/>
        <v>0.34262722425652165</v>
      </c>
      <c r="O33" s="1044">
        <f t="shared" si="2"/>
        <v>1</v>
      </c>
      <c r="P33" s="638">
        <f>IF(AND(I33&amp;J33&amp;K33&amp;L33&lt;&gt;"",I34&amp;J34&amp;K34&amp;L34=""),SUM(P$28:$P32),IF(I34&amp;J34&amp;K34&amp;L34="","",O33*SUM(K33:L33)))</f>
        <v>13</v>
      </c>
      <c r="Q33" s="638">
        <f t="shared" si="3"/>
        <v>5</v>
      </c>
      <c r="R33" s="659" cm="1">
        <f t="array" ref="R33">IF(AND(COUNT(I33:L33)=4,I34&amp;J34&amp;K34&amp;L34=""),SUM(R$28:$R32),IF(I34&amp;J34&amp;K34&amp;L34="","",IF(AND(O33=1,COUNT(I33:L33)=4),N33*P33/INDEX($P$29:$P$65,MAX($Q$29:$Q$65)),"")))</f>
        <v>1.391923098542119E-2</v>
      </c>
      <c r="S33" s="406"/>
      <c r="T33" s="1"/>
    </row>
    <row r="34" spans="1:48" s="53" customFormat="1" ht="20">
      <c r="A34" s="127"/>
      <c r="B34" s="11"/>
      <c r="C34" s="11"/>
      <c r="D34" s="11"/>
      <c r="E34" s="11"/>
      <c r="F34" s="11"/>
      <c r="G34" s="1182"/>
      <c r="H34" s="1182" t="s">
        <v>250</v>
      </c>
      <c r="I34" s="1183">
        <v>46590.005525881526</v>
      </c>
      <c r="J34" s="1183">
        <v>49208.946389617733</v>
      </c>
      <c r="K34" s="1184">
        <v>9</v>
      </c>
      <c r="L34" s="1184">
        <v>8</v>
      </c>
      <c r="M34" s="660">
        <f t="shared" si="0"/>
        <v>5.3220827834849958E-2</v>
      </c>
      <c r="N34" s="660">
        <f t="shared" si="1"/>
        <v>3.2208278348499556E-3</v>
      </c>
      <c r="O34" s="1044">
        <f t="shared" si="2"/>
        <v>1</v>
      </c>
      <c r="P34" s="638">
        <f>IF(AND(I34&amp;J34&amp;K34&amp;L34&lt;&gt;"",I35&amp;J35&amp;K35&amp;L35=""),SUM(P$28:$P33),IF(I35&amp;J35&amp;K35&amp;L35="","",O34*SUM(K34:L34)))</f>
        <v>17</v>
      </c>
      <c r="Q34" s="638">
        <f t="shared" si="3"/>
        <v>6</v>
      </c>
      <c r="R34" s="659" cm="1">
        <f t="array" ref="R34">IF(AND(COUNT(I34:L34)=4,I35&amp;J35&amp;K35&amp;L35=""),SUM(R$28:$R33),IF(I35&amp;J35&amp;K35&amp;L35="","",IF(AND(O34=1,COUNT(I34:L34)=4),N34*P34/INDEX($P$29:$P$65,MAX($Q$29:$Q$65)),"")))</f>
        <v>1.7110647872640389E-4</v>
      </c>
      <c r="S34" s="406"/>
      <c r="T34" s="1"/>
    </row>
    <row r="35" spans="1:48" s="53" customFormat="1" ht="20">
      <c r="A35" s="127"/>
      <c r="B35" s="11"/>
      <c r="C35" s="11"/>
      <c r="D35" s="11"/>
      <c r="E35" s="11"/>
      <c r="F35" s="11"/>
      <c r="G35" s="1182"/>
      <c r="H35" s="1182" t="s">
        <v>251</v>
      </c>
      <c r="I35" s="1183">
        <v>49605.6226353768</v>
      </c>
      <c r="J35" s="1183">
        <v>57474.272114208834</v>
      </c>
      <c r="K35" s="1184">
        <v>4</v>
      </c>
      <c r="L35" s="1184">
        <v>7</v>
      </c>
      <c r="M35" s="660">
        <f t="shared" si="0"/>
        <v>0.13690733591538154</v>
      </c>
      <c r="N35" s="660">
        <f t="shared" si="1"/>
        <v>8.6907335915381537E-2</v>
      </c>
      <c r="O35" s="1044">
        <f t="shared" si="2"/>
        <v>1</v>
      </c>
      <c r="P35" s="638">
        <f>IF(AND(I35&amp;J35&amp;K35&amp;L35&lt;&gt;"",I36&amp;J36&amp;K36&amp;L36=""),SUM(P$28:$P34),IF(I36&amp;J36&amp;K36&amp;L36="","",O35*SUM(K35:L35)))</f>
        <v>11</v>
      </c>
      <c r="Q35" s="638">
        <f t="shared" si="3"/>
        <v>7</v>
      </c>
      <c r="R35" s="659" cm="1">
        <f t="array" ref="R35">IF(AND(COUNT(I35:L35)=4,I36&amp;J36&amp;K36&amp;L36=""),SUM(R$28:$R34),IF(I36&amp;J36&amp;K36&amp;L36="","",IF(AND(O35=1,COUNT(I35:L35)=4),N35*P35/INDEX($P$29:$P$65,MAX($Q$29:$Q$65)),"")))</f>
        <v>2.9874396720912405E-3</v>
      </c>
      <c r="S35" s="406"/>
      <c r="T35" s="1"/>
      <c r="AU35" s="1353" t="s">
        <v>979</v>
      </c>
      <c r="AV35" s="1354"/>
    </row>
    <row r="36" spans="1:48" s="53" customFormat="1" ht="20">
      <c r="A36" s="127"/>
      <c r="B36" s="11"/>
      <c r="C36" s="11"/>
      <c r="D36" s="11"/>
      <c r="E36" s="11"/>
      <c r="F36" s="11"/>
      <c r="G36" s="1182"/>
      <c r="H36" s="1182" t="s">
        <v>252</v>
      </c>
      <c r="I36" s="1183">
        <v>30794.819648432043</v>
      </c>
      <c r="J36" s="1183">
        <v>49138.72137516267</v>
      </c>
      <c r="K36" s="1184">
        <v>10</v>
      </c>
      <c r="L36" s="1184">
        <v>11</v>
      </c>
      <c r="M36" s="660">
        <f t="shared" si="0"/>
        <v>0.37330848694004914</v>
      </c>
      <c r="N36" s="660">
        <f t="shared" si="1"/>
        <v>0.32330848694004916</v>
      </c>
      <c r="O36" s="1044">
        <f t="shared" si="2"/>
        <v>1</v>
      </c>
      <c r="P36" s="638">
        <f>IF(AND(I36&amp;J36&amp;K36&amp;L36&lt;&gt;"",I37&amp;J37&amp;K37&amp;L37=""),SUM(P$28:$P35),IF(I37&amp;J37&amp;K37&amp;L37="","",O36*SUM(K36:L36)))</f>
        <v>21</v>
      </c>
      <c r="Q36" s="638">
        <f t="shared" si="3"/>
        <v>8</v>
      </c>
      <c r="R36" s="659" cm="1">
        <f t="array" ref="R36">IF(AND(COUNT(I36:L36)=4,I37&amp;J37&amp;K37&amp;L37=""),SUM(R$28:$R35),IF(I37&amp;J37&amp;K37&amp;L37="","",IF(AND(O36=1,COUNT(I36:L36)=4),N36*P36/INDEX($P$29:$P$65,MAX($Q$29:$Q$65)),"")))</f>
        <v>2.1217119455440726E-2</v>
      </c>
      <c r="S36" s="406"/>
      <c r="T36" s="1"/>
      <c r="AU36" s="1160"/>
      <c r="AV36" s="1160"/>
    </row>
    <row r="37" spans="1:48" s="53" customFormat="1" ht="20">
      <c r="A37" s="127"/>
      <c r="B37" s="11"/>
      <c r="C37" s="11"/>
      <c r="D37" s="11"/>
      <c r="E37" s="11"/>
      <c r="F37" s="11"/>
      <c r="G37" s="1182" t="s">
        <v>394</v>
      </c>
      <c r="H37" s="1182" t="s">
        <v>618</v>
      </c>
      <c r="I37" s="1183">
        <v>32941.11315766476</v>
      </c>
      <c r="J37" s="1183">
        <v>31130.355631987182</v>
      </c>
      <c r="K37" s="1184">
        <v>5</v>
      </c>
      <c r="L37" s="1184">
        <v>9</v>
      </c>
      <c r="M37" s="660">
        <f t="shared" si="0"/>
        <v>-5.8166939918186528E-2</v>
      </c>
      <c r="N37" s="660">
        <f t="shared" si="1"/>
        <v>-8.1669399181865249E-3</v>
      </c>
      <c r="O37" s="1044">
        <f t="shared" si="2"/>
        <v>1</v>
      </c>
      <c r="P37" s="638">
        <f>IF(AND(I37&amp;J37&amp;K37&amp;L37&lt;&gt;"",I38&amp;J38&amp;K38&amp;L38=""),SUM(P$28:$P36),IF(I38&amp;J38&amp;K38&amp;L38="","",O37*SUM(K37:L37)))</f>
        <v>14</v>
      </c>
      <c r="Q37" s="638">
        <f t="shared" si="3"/>
        <v>9</v>
      </c>
      <c r="R37" s="659" cm="1">
        <f t="array" ref="R37">IF(AND(COUNT(I37:L37)=4,I38&amp;J38&amp;K38&amp;L38=""),SUM(R$28:$R36),IF(I38&amp;J38&amp;K38&amp;L38="","",IF(AND(O37=1,COUNT(I37:L37)=4),N37*P37/INDEX($P$29:$P$65,MAX($Q$29:$Q$65)),"")))</f>
        <v>-3.5730362142066048E-4</v>
      </c>
      <c r="S37" s="406"/>
      <c r="T37" s="1"/>
      <c r="AU37" s="1161" cm="1">
        <f t="array" ref="AU37">INDEX(R29:R65,MAX(Q30:Q65))</f>
        <v>3.6935517640749795E-2</v>
      </c>
      <c r="AV37" s="1160"/>
    </row>
    <row r="38" spans="1:48" s="53" customFormat="1" ht="20">
      <c r="A38" s="127"/>
      <c r="B38" s="11"/>
      <c r="C38" s="11"/>
      <c r="D38" s="11"/>
      <c r="E38" s="11"/>
      <c r="F38" s="11"/>
      <c r="G38" s="1182"/>
      <c r="H38" s="1182" t="s">
        <v>250</v>
      </c>
      <c r="I38" s="1183">
        <v>33640.243902958558</v>
      </c>
      <c r="J38" s="1183">
        <v>32963.297220721848</v>
      </c>
      <c r="K38" s="1184">
        <v>5</v>
      </c>
      <c r="L38" s="1184">
        <v>6</v>
      </c>
      <c r="M38" s="660">
        <f t="shared" si="0"/>
        <v>-2.0536376494859825E-2</v>
      </c>
      <c r="N38" s="660">
        <f t="shared" si="1"/>
        <v>0</v>
      </c>
      <c r="O38" s="1044">
        <f t="shared" si="2"/>
        <v>1</v>
      </c>
      <c r="P38" s="638">
        <f>IF(AND(I38&amp;J38&amp;K38&amp;L38&lt;&gt;"",I39&amp;J39&amp;K39&amp;L39=""),SUM(P$28:$P37),IF(I39&amp;J39&amp;K39&amp;L39="","",O38*SUM(K38:L38)))</f>
        <v>11</v>
      </c>
      <c r="Q38" s="638">
        <f t="shared" si="3"/>
        <v>10</v>
      </c>
      <c r="R38" s="659" cm="1">
        <f t="array" ref="R38">IF(AND(COUNT(I38:L38)=4,I39&amp;J39&amp;K39&amp;L39=""),SUM(R$28:$R37),IF(I39&amp;J39&amp;K39&amp;L39="","",IF(AND(O38=1,COUNT(I38:L38)=4),N38*P38/INDEX($P$29:$P$65,MAX($Q$29:$Q$65)),"")))</f>
        <v>0</v>
      </c>
      <c r="S38" s="406"/>
      <c r="T38" s="1"/>
      <c r="AU38" s="1160"/>
      <c r="AV38" s="1160"/>
    </row>
    <row r="39" spans="1:48" s="53" customFormat="1" ht="20">
      <c r="A39" s="127"/>
      <c r="B39" s="11"/>
      <c r="C39" s="11"/>
      <c r="D39" s="11"/>
      <c r="E39" s="11"/>
      <c r="F39" s="11"/>
      <c r="G39" s="1182"/>
      <c r="H39" s="1182" t="s">
        <v>251</v>
      </c>
      <c r="I39" s="1183">
        <v>28671.523057542468</v>
      </c>
      <c r="J39" s="1183">
        <v>32673.955078145606</v>
      </c>
      <c r="K39" s="1184">
        <v>4</v>
      </c>
      <c r="L39" s="1184">
        <v>5</v>
      </c>
      <c r="M39" s="660">
        <f t="shared" si="0"/>
        <v>0.12249609852956599</v>
      </c>
      <c r="N39" s="660">
        <f t="shared" si="1"/>
        <v>7.2496098529565983E-2</v>
      </c>
      <c r="O39" s="1044">
        <f t="shared" si="2"/>
        <v>1</v>
      </c>
      <c r="P39" s="638">
        <f>IF(AND(I39&amp;J39&amp;K39&amp;L39&lt;&gt;"",I40&amp;J40&amp;K40&amp;L40=""),SUM(P$28:$P38),IF(I40&amp;J40&amp;K40&amp;L40="","",O39*SUM(K39:L39)))</f>
        <v>9</v>
      </c>
      <c r="Q39" s="638">
        <f t="shared" si="3"/>
        <v>11</v>
      </c>
      <c r="R39" s="659" cm="1">
        <f t="array" ref="R39">IF(AND(COUNT(I39:L39)=4,I40&amp;J40&amp;K40&amp;L40=""),SUM(R$28:$R38),IF(I40&amp;J40&amp;K40&amp;L40="","",IF(AND(O39=1,COUNT(I39:L39)=4),N39*P39/INDEX($P$29:$P$65,MAX($Q$29:$Q$65)),"")))</f>
        <v>2.0389527711440433E-3</v>
      </c>
      <c r="S39" s="406"/>
      <c r="T39" s="1"/>
    </row>
    <row r="40" spans="1:48" s="53" customFormat="1" ht="20">
      <c r="A40" s="127"/>
      <c r="B40" s="11"/>
      <c r="C40" s="11"/>
      <c r="D40" s="11"/>
      <c r="E40" s="11"/>
      <c r="F40" s="11"/>
      <c r="G40" s="1182"/>
      <c r="H40" s="1182" t="s">
        <v>252</v>
      </c>
      <c r="I40" s="1183">
        <v>35234.653212398043</v>
      </c>
      <c r="J40" s="1183">
        <v>38342.43166013177</v>
      </c>
      <c r="K40" s="1184">
        <v>4</v>
      </c>
      <c r="L40" s="1184">
        <v>10</v>
      </c>
      <c r="M40" s="660">
        <f t="shared" si="0"/>
        <v>8.1053243447915577E-2</v>
      </c>
      <c r="N40" s="660">
        <f t="shared" si="1"/>
        <v>3.1053243447915574E-2</v>
      </c>
      <c r="O40" s="1044">
        <f t="shared" si="2"/>
        <v>1</v>
      </c>
      <c r="P40" s="638">
        <f>IF(AND(I40&amp;J40&amp;K40&amp;L40&lt;&gt;"",I41&amp;J41&amp;K41&amp;L41=""),SUM(P$28:$P39),IF(I41&amp;J41&amp;K41&amp;L41="","",O40*SUM(K40:L40)))</f>
        <v>14</v>
      </c>
      <c r="Q40" s="638">
        <f t="shared" si="3"/>
        <v>12</v>
      </c>
      <c r="R40" s="659" cm="1">
        <f t="array" ref="R40">IF(AND(COUNT(I40:L40)=4,I41&amp;J41&amp;K41&amp;L41=""),SUM(R$28:$R39),IF(I41&amp;J41&amp;K41&amp;L41="","",IF(AND(O40=1,COUNT(I40:L40)=4),N40*P40/INDEX($P$29:$P$65,MAX($Q$29:$Q$65)),"")))</f>
        <v>1.3585794008463064E-3</v>
      </c>
      <c r="S40" s="406"/>
      <c r="T40" s="1"/>
    </row>
    <row r="41" spans="1:48" s="53" customFormat="1" ht="21">
      <c r="A41" s="127"/>
      <c r="B41" s="11"/>
      <c r="C41" s="11"/>
      <c r="D41" s="11"/>
      <c r="E41" s="11"/>
      <c r="F41" s="11"/>
      <c r="G41" s="1182" t="s">
        <v>235</v>
      </c>
      <c r="H41" s="1182"/>
      <c r="I41" s="637">
        <v>34489.679424810842</v>
      </c>
      <c r="J41" s="637">
        <v>37097.483105808104</v>
      </c>
      <c r="K41" s="653">
        <v>120</v>
      </c>
      <c r="L41" s="653">
        <v>200</v>
      </c>
      <c r="M41" s="660">
        <f t="shared" si="0"/>
        <v>7.0295973275582554E-2</v>
      </c>
      <c r="N41" s="660" t="str">
        <f t="shared" si="1"/>
        <v xml:space="preserve"> </v>
      </c>
      <c r="O41" s="1044" t="str">
        <f t="shared" si="2"/>
        <v/>
      </c>
      <c r="P41" s="638">
        <f>IF(AND(I41&amp;J41&amp;K41&amp;L41&lt;&gt;"",I42&amp;J42&amp;K42&amp;L42=""),SUM(P$28:$P40),IF(I42&amp;J42&amp;K42&amp;L42="","",O41*SUM(K41:L41)))</f>
        <v>320</v>
      </c>
      <c r="Q41" s="638">
        <f t="shared" si="3"/>
        <v>13</v>
      </c>
      <c r="R41" s="659" cm="1">
        <f t="array" ref="R41">IF(AND(COUNT(I41:L41)=4,I42&amp;J42&amp;K42&amp;L42=""),SUM(R$28:$R40),IF(I42&amp;J42&amp;K42&amp;L42="","",IF(AND(O41=1,COUNT(I41:L41)=4),N41*P41/INDEX($P$29:$P$65,MAX($Q$29:$Q$65)),"")))</f>
        <v>3.6935517640749795E-2</v>
      </c>
      <c r="S41" s="406"/>
      <c r="T41" s="1"/>
    </row>
    <row r="42" spans="1:48" s="53" customFormat="1" ht="21">
      <c r="A42" s="127"/>
      <c r="B42" s="11"/>
      <c r="C42" s="11"/>
      <c r="D42" s="11"/>
      <c r="E42" s="11"/>
      <c r="F42" s="11"/>
      <c r="G42"/>
      <c r="H42"/>
      <c r="I42"/>
      <c r="J42"/>
      <c r="K42"/>
      <c r="L42"/>
      <c r="M42" s="660" t="str">
        <f t="shared" si="0"/>
        <v xml:space="preserve"> </v>
      </c>
      <c r="N42" s="660" t="str">
        <f t="shared" si="1"/>
        <v xml:space="preserve"> </v>
      </c>
      <c r="O42" s="1044" t="str">
        <f t="shared" si="2"/>
        <v/>
      </c>
      <c r="P42" s="638" t="str">
        <f>IF(AND(I42&amp;J42&amp;K42&amp;L42&lt;&gt;"",I43&amp;J43&amp;K43&amp;L43=""),SUM(P$28:$P41),IF(I43&amp;J43&amp;K43&amp;L43="","",O42*SUM(K42:L42)))</f>
        <v/>
      </c>
      <c r="Q42" s="638" t="str">
        <f t="shared" si="3"/>
        <v/>
      </c>
      <c r="R42" s="659" t="str" cm="1">
        <f t="array" ref="R42">IF(AND(COUNT(I42:L42)=4,I43&amp;J43&amp;K43&amp;L43=""),SUM(R$28:$R41),IF(I43&amp;J43&amp;K43&amp;L43="","",IF(AND(O42=1,COUNT(I42:L42)=4),N42*P42/INDEX($P$29:$P$65,MAX($Q$29:$Q$65)),"")))</f>
        <v/>
      </c>
      <c r="S42" s="406"/>
      <c r="T42" s="1"/>
    </row>
    <row r="43" spans="1:48" s="53" customFormat="1" ht="21">
      <c r="A43" s="127"/>
      <c r="B43" s="11"/>
      <c r="C43" s="11"/>
      <c r="D43" s="11"/>
      <c r="E43" s="11"/>
      <c r="F43" s="11"/>
      <c r="G43"/>
      <c r="H43"/>
      <c r="I43"/>
      <c r="J43"/>
      <c r="K43"/>
      <c r="L43"/>
      <c r="M43" s="660" t="str">
        <f t="shared" si="0"/>
        <v xml:space="preserve"> </v>
      </c>
      <c r="N43" s="660" t="str">
        <f>IF(AND(I44&amp;J44&amp;K44&amp;L44&lt;&gt;"",ISNUMBER(M43)),SIGN(M43)*MAX(0,ABS(M43)-$I$17)," ")</f>
        <v xml:space="preserve"> </v>
      </c>
      <c r="O43" s="1044" t="str">
        <f t="shared" si="2"/>
        <v/>
      </c>
      <c r="P43" s="638" t="str">
        <f>IF(AND(I43&amp;J43&amp;K43&amp;L43&lt;&gt;"",I44&amp;J44&amp;K44&amp;L44=""),SUM(P$28:$P42),IF(I44&amp;J44&amp;K44&amp;L44="","",O43*SUM(K43:L43)))</f>
        <v/>
      </c>
      <c r="Q43" s="638" t="str">
        <f t="shared" si="3"/>
        <v/>
      </c>
      <c r="R43" s="659" t="str" cm="1">
        <f t="array" ref="R43">IF(AND(COUNT(I43:L43)=4,I44&amp;J44&amp;K44&amp;L44=""),SUM(R$28:$R42),IF(I44&amp;J44&amp;K44&amp;L44="","",IF(AND(O43=1,COUNT(I43:L43)=4),N43*P43/INDEX($P$29:$P$65,MAX($Q$29:$Q$65)),"")))</f>
        <v/>
      </c>
      <c r="S43" s="406"/>
      <c r="T43" s="1"/>
    </row>
    <row r="44" spans="1:48" s="53" customFormat="1" ht="21">
      <c r="A44" s="127"/>
      <c r="B44" s="11"/>
      <c r="C44" s="11" t="s">
        <v>993</v>
      </c>
      <c r="D44" s="11"/>
      <c r="E44" s="11"/>
      <c r="F44" s="11"/>
      <c r="G44"/>
      <c r="H44"/>
      <c r="I44"/>
      <c r="J44"/>
      <c r="K44"/>
      <c r="L44"/>
      <c r="M44" s="660" t="str">
        <f t="shared" si="0"/>
        <v xml:space="preserve"> </v>
      </c>
      <c r="N44" s="660" t="str">
        <f t="shared" si="1"/>
        <v xml:space="preserve"> </v>
      </c>
      <c r="O44" s="1044" t="str">
        <f t="shared" si="2"/>
        <v/>
      </c>
      <c r="P44" s="638" t="str">
        <f>IF(AND(I44&amp;J44&amp;K44&amp;L44&lt;&gt;"",I45&amp;J45&amp;K45&amp;L45=""),SUM(P$28:$P43),IF(I45&amp;J45&amp;K45&amp;L45="","",O44*SUM(K44:L44)))</f>
        <v/>
      </c>
      <c r="Q44" s="638" t="str">
        <f t="shared" si="3"/>
        <v/>
      </c>
      <c r="R44" s="659" t="str" cm="1">
        <f t="array" ref="R44">IF(AND(COUNT(I44:L44)=4,I45&amp;J45&amp;K45&amp;L45=""),SUM(R$28:$R43),IF(I45&amp;J45&amp;K45&amp;L45="","",IF(AND(O44=1,COUNT(I44:L44)=4),N44*P44/INDEX($P$29:$P$65,MAX($Q$29:$Q$65)),"")))</f>
        <v/>
      </c>
      <c r="S44" s="406"/>
      <c r="T44" s="1"/>
    </row>
    <row r="45" spans="1:48" s="53" customFormat="1" ht="21">
      <c r="A45" s="127"/>
      <c r="B45" s="11"/>
      <c r="C45" s="11"/>
      <c r="D45" s="11"/>
      <c r="E45" s="11"/>
      <c r="F45" s="11"/>
      <c r="G45"/>
      <c r="H45" s="4"/>
      <c r="I45"/>
      <c r="J45"/>
      <c r="K45"/>
      <c r="L45"/>
      <c r="M45" s="660" t="str">
        <f t="shared" si="0"/>
        <v xml:space="preserve"> </v>
      </c>
      <c r="N45" s="660" t="str">
        <f t="shared" si="1"/>
        <v xml:space="preserve"> </v>
      </c>
      <c r="O45" s="1044">
        <f t="shared" si="2"/>
        <v>0</v>
      </c>
      <c r="P45" s="638">
        <f>IF(AND(I45&amp;J45&amp;K45&amp;L45&lt;&gt;"",I46&amp;J46&amp;K46&amp;L46=""),SUM(P$28:$P44),IF(I46&amp;J46&amp;K46&amp;L46="","",O45*SUM(K45:L45)))</f>
        <v>0</v>
      </c>
      <c r="Q45" s="638" t="str">
        <f t="shared" si="3"/>
        <v/>
      </c>
      <c r="R45" s="659" t="str" cm="1">
        <f t="array" ref="R45">IF(AND(COUNT(I45:L45)=4,I46&amp;J46&amp;K46&amp;L46=""),SUM(R$28:$R44),IF(I46&amp;J46&amp;K46&amp;L46="","",IF(AND(O45=1,COUNT(I45:L45)=4),N45*P45/INDEX($P$29:$P$65,MAX($Q$29:$Q$65)),"")))</f>
        <v/>
      </c>
      <c r="S45" s="406"/>
      <c r="T45" s="1"/>
      <c r="U45" s="1"/>
      <c r="V45" s="1"/>
      <c r="W45" s="1"/>
      <c r="X45" s="1"/>
      <c r="Y45" s="1"/>
      <c r="Z45" s="1"/>
      <c r="AA45" s="1"/>
      <c r="AB45" s="1"/>
      <c r="AC45" s="1"/>
      <c r="AD45" s="1"/>
      <c r="AE45" s="1"/>
      <c r="AF45" s="1"/>
      <c r="AG45" s="1"/>
      <c r="AH45" s="1"/>
    </row>
    <row r="46" spans="1:48" s="53" customFormat="1" ht="82" customHeight="1">
      <c r="A46" s="127"/>
      <c r="B46" s="11"/>
      <c r="C46" s="11"/>
      <c r="D46" s="11"/>
      <c r="E46" s="11"/>
      <c r="F46" s="11"/>
      <c r="G46" s="1350" t="s">
        <v>472</v>
      </c>
      <c r="H46" s="1351"/>
      <c r="I46" s="1355"/>
      <c r="J46" s="1191" t="s">
        <v>477</v>
      </c>
      <c r="K46" s="1194"/>
      <c r="L46" s="1194"/>
      <c r="M46" s="1194"/>
      <c r="N46" s="1194"/>
      <c r="O46" s="1194"/>
      <c r="P46" s="1195"/>
      <c r="Q46" s="1189"/>
      <c r="R46" s="1190"/>
      <c r="S46" s="1170"/>
      <c r="T46" s="1170"/>
      <c r="U46" s="1170"/>
      <c r="V46" s="1170"/>
      <c r="W46" s="1170"/>
      <c r="X46" s="1170"/>
      <c r="Y46" s="1170"/>
      <c r="Z46" s="1170"/>
      <c r="AA46" s="1170"/>
      <c r="AB46" s="1170"/>
      <c r="AC46" s="1170"/>
      <c r="AD46" s="1170"/>
      <c r="AE46" s="1"/>
      <c r="AF46" s="1"/>
      <c r="AG46" s="1"/>
      <c r="AH46" s="1"/>
    </row>
    <row r="47" spans="1:48" s="53" customFormat="1" ht="109" customHeight="1">
      <c r="A47" s="127"/>
      <c r="B47" s="11"/>
      <c r="C47" s="11"/>
      <c r="D47" s="11"/>
      <c r="E47" s="11"/>
      <c r="F47" s="11"/>
      <c r="G47" s="1350" t="s">
        <v>473</v>
      </c>
      <c r="H47" s="1351"/>
      <c r="I47" s="1352"/>
      <c r="J47" s="1191" t="s">
        <v>478</v>
      </c>
      <c r="K47" s="1192"/>
      <c r="L47" s="1192"/>
      <c r="M47" s="1192"/>
      <c r="N47" s="1192"/>
      <c r="O47" s="1192"/>
      <c r="P47" s="1193"/>
      <c r="Q47" s="1189"/>
      <c r="R47" s="1190"/>
      <c r="S47" s="1170"/>
      <c r="T47" s="1170"/>
      <c r="U47" s="1170"/>
      <c r="V47" s="1170"/>
      <c r="W47" s="1170"/>
      <c r="X47" s="1170"/>
      <c r="Y47" s="1170"/>
      <c r="Z47" s="1170"/>
      <c r="AA47" s="1170"/>
      <c r="AB47" s="1170"/>
      <c r="AC47" s="1170"/>
      <c r="AD47" s="1170"/>
      <c r="AE47" s="1"/>
      <c r="AF47" s="1"/>
      <c r="AG47" s="1"/>
      <c r="AH47" s="1"/>
    </row>
    <row r="48" spans="1:48" s="53" customFormat="1" ht="21">
      <c r="A48" s="127"/>
      <c r="B48" s="11"/>
      <c r="C48" s="11"/>
      <c r="D48" s="11"/>
      <c r="E48" s="11"/>
      <c r="F48" s="11"/>
      <c r="G48"/>
      <c r="H48"/>
      <c r="I48"/>
      <c r="J48"/>
      <c r="K48" s="4"/>
      <c r="L48"/>
      <c r="M48" s="660" t="str">
        <f t="shared" si="0"/>
        <v xml:space="preserve"> </v>
      </c>
      <c r="N48" s="660" t="str">
        <f t="shared" si="1"/>
        <v xml:space="preserve"> </v>
      </c>
      <c r="O48" s="1044" t="str">
        <f t="shared" si="2"/>
        <v/>
      </c>
      <c r="P48" s="638" t="str">
        <f>IF(AND(I48&amp;J48&amp;K48&amp;L48&lt;&gt;"",I49&amp;J49&amp;K49&amp;L49=""),SUM(P$28:$P47),IF(I49&amp;J49&amp;K49&amp;L49="","",O48*SUM(K48:L48)))</f>
        <v/>
      </c>
      <c r="Q48" s="638" t="str">
        <f t="shared" si="3"/>
        <v/>
      </c>
      <c r="R48" s="659" t="str" cm="1">
        <f t="array" ref="R48">IF(AND(COUNT(I48:L48)=4,I49&amp;J49&amp;K49&amp;L49=""),SUM(R$28:$R47),IF(I49&amp;J49&amp;K49&amp;L49="","",IF(AND(O48=1,COUNT(I48:L48)=4),N48*P48/INDEX($P$29:$P$65,MAX($Q$29:$Q$65)),"")))</f>
        <v/>
      </c>
      <c r="S48" s="1"/>
      <c r="T48" s="1"/>
      <c r="U48" s="1"/>
      <c r="V48" s="1"/>
      <c r="W48" s="1"/>
      <c r="X48" s="1"/>
      <c r="Y48" s="1"/>
      <c r="Z48" s="1"/>
      <c r="AA48" s="1"/>
      <c r="AB48" s="1"/>
      <c r="AC48" s="1"/>
      <c r="AD48" s="1"/>
      <c r="AE48" s="1"/>
      <c r="AF48" s="1"/>
      <c r="AG48" s="1"/>
      <c r="AH48" s="1"/>
    </row>
    <row r="49" spans="1:34" s="53" customFormat="1" ht="21">
      <c r="A49" s="127"/>
      <c r="B49" s="11"/>
      <c r="C49" s="11"/>
      <c r="D49" s="11"/>
      <c r="E49" s="11"/>
      <c r="F49" s="11"/>
      <c r="G49"/>
      <c r="H49"/>
      <c r="I49"/>
      <c r="J49"/>
      <c r="K49"/>
      <c r="L49"/>
      <c r="M49" s="660" t="str">
        <f t="shared" si="0"/>
        <v xml:space="preserve"> </v>
      </c>
      <c r="N49" s="660" t="str">
        <f t="shared" si="1"/>
        <v xml:space="preserve"> </v>
      </c>
      <c r="O49" s="1044" t="str">
        <f t="shared" si="2"/>
        <v/>
      </c>
      <c r="P49" s="638" t="str">
        <f>IF(AND(I49&amp;J49&amp;K49&amp;L49&lt;&gt;"",I50&amp;J50&amp;K50&amp;L50=""),SUM(P$28:$P48),IF(I50&amp;J50&amp;K50&amp;L50="","",O49*SUM(K49:L49)))</f>
        <v/>
      </c>
      <c r="Q49" s="638" t="str">
        <f t="shared" si="3"/>
        <v/>
      </c>
      <c r="R49" s="659" t="str" cm="1">
        <f t="array" ref="R49">IF(AND(COUNT(I49:L49)=4,I50&amp;J50&amp;K50&amp;L50=""),SUM(R$28:$R48),IF(I50&amp;J50&amp;K50&amp;L50="","",IF(AND(O49=1,COUNT(I49:L49)=4),N49*P49/INDEX($P$29:$P$65,MAX($Q$29:$Q$65)),"")))</f>
        <v/>
      </c>
      <c r="S49" s="1"/>
      <c r="T49" s="1"/>
      <c r="U49" s="1"/>
      <c r="V49" s="1"/>
      <c r="W49" s="1"/>
      <c r="X49" s="1"/>
      <c r="Y49" s="1"/>
      <c r="Z49" s="1"/>
      <c r="AA49" s="1"/>
      <c r="AB49" s="1"/>
      <c r="AC49" s="1"/>
      <c r="AD49" s="1"/>
      <c r="AE49" s="1"/>
      <c r="AF49" s="1"/>
      <c r="AG49" s="1"/>
      <c r="AH49" s="1"/>
    </row>
    <row r="50" spans="1:34" s="53" customFormat="1" ht="21">
      <c r="A50" s="127"/>
      <c r="B50" s="11"/>
      <c r="C50" s="11"/>
      <c r="D50" s="11"/>
      <c r="E50" s="11"/>
      <c r="F50" s="11"/>
      <c r="G50" s="1"/>
      <c r="H50" s="1"/>
      <c r="I50" s="1"/>
      <c r="J50" s="1"/>
      <c r="K50" s="1"/>
      <c r="L50" s="1"/>
      <c r="M50" s="660" t="str">
        <f t="shared" si="0"/>
        <v xml:space="preserve"> </v>
      </c>
      <c r="N50" s="660" t="str">
        <f t="shared" si="1"/>
        <v xml:space="preserve"> </v>
      </c>
      <c r="O50" s="1044" t="str">
        <f t="shared" si="2"/>
        <v/>
      </c>
      <c r="P50" s="638" t="str">
        <f>IF(AND(I50&amp;J50&amp;K50&amp;L50&lt;&gt;"",I51&amp;J51&amp;K51&amp;L51=""),SUM(P$28:$P49),IF(I51&amp;J51&amp;K51&amp;L51="","",O50*SUM(K50:L50)))</f>
        <v/>
      </c>
      <c r="Q50" s="638" t="str">
        <f t="shared" si="3"/>
        <v/>
      </c>
      <c r="R50" s="659" t="str" cm="1">
        <f t="array" ref="R50">IF(AND(COUNT(I50:L50)=4,I51&amp;J51&amp;K51&amp;L51=""),SUM(R$28:$R49),IF(I51&amp;J51&amp;K51&amp;L51="","",IF(AND(O50=1,COUNT(I50:L50)=4),N50*P50/INDEX($P$29:$P$65,MAX($Q$29:$Q$65)),"")))</f>
        <v/>
      </c>
      <c r="S50" s="1"/>
      <c r="T50" s="1"/>
      <c r="U50" s="1"/>
      <c r="V50" s="1"/>
      <c r="W50" s="1"/>
      <c r="X50" s="1"/>
      <c r="Y50" s="1"/>
      <c r="Z50" s="1"/>
      <c r="AA50" s="1"/>
      <c r="AB50" s="1"/>
      <c r="AC50" s="1"/>
      <c r="AD50" s="1"/>
      <c r="AE50" s="1"/>
      <c r="AF50" s="1"/>
      <c r="AG50" s="1"/>
      <c r="AH50" s="1"/>
    </row>
    <row r="51" spans="1:34" s="53" customFormat="1" ht="21">
      <c r="A51" s="127"/>
      <c r="B51" s="11"/>
      <c r="C51" s="11"/>
      <c r="D51" s="11"/>
      <c r="E51" s="11"/>
      <c r="F51" s="11"/>
      <c r="G51" s="1"/>
      <c r="H51" s="1"/>
      <c r="I51" s="1"/>
      <c r="J51" s="1"/>
      <c r="K51" s="1"/>
      <c r="L51" s="1"/>
      <c r="M51" s="660" t="str">
        <f t="shared" si="0"/>
        <v xml:space="preserve"> </v>
      </c>
      <c r="N51" s="660" t="str">
        <f>IF(AND(I58&amp;J58&amp;K58&amp;L58&lt;&gt;"",ISNUMBER(M51)),SIGN(M51)*MAX(0,ABS(M51)-$I$17)," ")</f>
        <v xml:space="preserve"> </v>
      </c>
      <c r="O51" s="1044" t="str">
        <f t="shared" si="2"/>
        <v/>
      </c>
      <c r="P51" s="638" t="str">
        <f>IF(AND(I51&amp;J51&amp;K51&amp;L51&lt;&gt;"",I58&amp;J58&amp;K58&amp;L58=""),SUM(P$28:$P50),IF(I58&amp;J58&amp;K58&amp;L58="","",O51*SUM(K51:L51)))</f>
        <v/>
      </c>
      <c r="Q51" s="638" t="str">
        <f t="shared" si="3"/>
        <v/>
      </c>
      <c r="R51" s="659" t="str" cm="1">
        <f t="array" ref="R51">IF(AND(COUNT(I51:L51)=4,I58&amp;J58&amp;K58&amp;L58=""),SUM(R$28:$R50),IF(I58&amp;J58&amp;K58&amp;L58="","",IF(AND(O51=1,COUNT(I51:L51)=4),N51*P51/INDEX($P$29:$P$65,MAX($Q$29:$Q$65)),"")))</f>
        <v/>
      </c>
      <c r="S51" s="1"/>
      <c r="T51" s="1"/>
      <c r="U51" s="1"/>
      <c r="V51" s="1"/>
      <c r="W51" s="1"/>
      <c r="X51" s="1"/>
      <c r="Y51" s="1"/>
      <c r="Z51" s="1"/>
      <c r="AA51" s="1"/>
      <c r="AB51" s="1"/>
      <c r="AC51" s="1"/>
      <c r="AD51" s="1"/>
      <c r="AE51" s="1"/>
      <c r="AF51" s="1"/>
      <c r="AG51" s="1"/>
      <c r="AH51" s="1"/>
    </row>
    <row r="52" spans="1:34" s="53" customFormat="1" ht="21">
      <c r="A52" s="127"/>
      <c r="B52" s="11"/>
      <c r="C52" s="11"/>
      <c r="D52" s="11"/>
      <c r="E52" s="11"/>
      <c r="F52" s="11"/>
      <c r="G52" s="1"/>
      <c r="H52" s="1"/>
      <c r="I52" s="1"/>
      <c r="J52" s="1"/>
      <c r="K52" s="1"/>
      <c r="L52" s="1"/>
      <c r="M52" s="660" t="str">
        <f t="shared" ref="M52:M65" si="4">IF(AND(I52&gt;0,J52&gt;0),(J52-I52)/J52," ")</f>
        <v xml:space="preserve"> </v>
      </c>
      <c r="N52" s="660" t="str">
        <f t="shared" ref="N52:N65" si="5">IF(AND(I59&amp;J59&amp;K59&amp;L59&lt;&gt;"",ISNUMBER(M52)),SIGN(M52)*MAX(0,ABS(M52)-$I$17)," ")</f>
        <v xml:space="preserve"> </v>
      </c>
      <c r="O52" s="1044" t="str">
        <f t="shared" si="2"/>
        <v/>
      </c>
      <c r="P52" s="638" t="str">
        <f>IF(AND(I52&amp;J52&amp;K52&amp;L52&lt;&gt;"",I59&amp;J59&amp;K59&amp;L59=""),SUM(P$28:$P51),IF(I59&amp;J59&amp;K59&amp;L59="","",O52*SUM(K52:L52)))</f>
        <v/>
      </c>
      <c r="Q52" s="638" t="str">
        <f t="shared" ref="Q52:Q65" si="6">IF(H51="","",Q51+1)</f>
        <v/>
      </c>
      <c r="R52" s="659" t="str" cm="1">
        <f t="array" ref="R52">IF(AND(COUNT(I52:L52)=4,I59&amp;J59&amp;K59&amp;L59=""),SUM(R$28:$R51),IF(I59&amp;J59&amp;K59&amp;L59="","",IF(AND(O52=1,COUNT(I52:L52)=4),N52*P52/INDEX($P$29:$P$65,MAX($Q$29:$Q$65)),"")))</f>
        <v/>
      </c>
      <c r="S52" s="1"/>
      <c r="T52" s="1"/>
      <c r="U52" s="1"/>
      <c r="V52" s="1"/>
      <c r="W52" s="1"/>
      <c r="X52" s="1"/>
      <c r="Y52" s="1"/>
      <c r="Z52" s="1"/>
      <c r="AA52" s="1"/>
      <c r="AB52" s="1"/>
      <c r="AC52" s="1"/>
      <c r="AD52" s="1"/>
      <c r="AE52" s="1"/>
      <c r="AF52" s="1"/>
      <c r="AG52" s="1"/>
      <c r="AH52" s="1"/>
    </row>
    <row r="53" spans="1:34" s="53" customFormat="1" ht="21">
      <c r="A53" s="127"/>
      <c r="B53" s="11"/>
      <c r="C53" s="11"/>
      <c r="D53" s="11"/>
      <c r="E53" s="11"/>
      <c r="F53" s="11"/>
      <c r="G53" s="1"/>
      <c r="H53" s="1"/>
      <c r="I53" s="1"/>
      <c r="J53" s="1"/>
      <c r="K53" s="1"/>
      <c r="L53" s="1"/>
      <c r="M53" s="660" t="str">
        <f t="shared" si="4"/>
        <v xml:space="preserve"> </v>
      </c>
      <c r="N53" s="660" t="str">
        <f t="shared" si="5"/>
        <v xml:space="preserve"> </v>
      </c>
      <c r="O53" s="1044" t="str">
        <f t="shared" si="2"/>
        <v/>
      </c>
      <c r="P53" s="638" t="str">
        <f>IF(AND(I53&amp;J53&amp;K53&amp;L53&lt;&gt;"",I60&amp;J60&amp;K60&amp;L60=""),SUM(P$28:$P52),IF(I60&amp;J60&amp;K60&amp;L60="","",O53*SUM(K53:L53)))</f>
        <v/>
      </c>
      <c r="Q53" s="638" t="str">
        <f t="shared" si="6"/>
        <v/>
      </c>
      <c r="R53" s="659" t="str" cm="1">
        <f t="array" ref="R53">IF(AND(COUNT(I53:L53)=4,I60&amp;J60&amp;K60&amp;L60=""),SUM(R$28:$R52),IF(I60&amp;J60&amp;K60&amp;L60="","",IF(AND(O53=1,COUNT(I53:L53)=4),N53*P53/INDEX($P$29:$P$65,MAX($Q$29:$Q$65)),"")))</f>
        <v/>
      </c>
      <c r="S53" s="1"/>
      <c r="T53" s="1"/>
      <c r="U53" s="1"/>
      <c r="V53" s="1"/>
      <c r="W53" s="1"/>
      <c r="X53" s="1"/>
      <c r="Y53" s="1"/>
      <c r="Z53" s="1"/>
      <c r="AA53" s="1"/>
      <c r="AB53" s="1"/>
      <c r="AC53" s="1"/>
      <c r="AD53" s="1"/>
      <c r="AE53" s="1"/>
      <c r="AF53" s="1"/>
      <c r="AG53" s="1"/>
      <c r="AH53" s="1"/>
    </row>
    <row r="54" spans="1:34" s="53" customFormat="1" ht="21">
      <c r="A54" s="127"/>
      <c r="B54" s="11"/>
      <c r="C54" s="11"/>
      <c r="D54" s="11"/>
      <c r="E54" s="11"/>
      <c r="F54" s="11"/>
      <c r="G54" s="1"/>
      <c r="H54" s="1"/>
      <c r="I54" s="1"/>
      <c r="J54" s="1"/>
      <c r="K54" s="1"/>
      <c r="L54" s="1"/>
      <c r="M54" s="660" t="str">
        <f t="shared" si="4"/>
        <v xml:space="preserve"> </v>
      </c>
      <c r="N54" s="660" t="str">
        <f t="shared" si="5"/>
        <v xml:space="preserve"> </v>
      </c>
      <c r="O54" s="1044" t="str">
        <f t="shared" si="2"/>
        <v/>
      </c>
      <c r="P54" s="638" t="str">
        <f>IF(AND(I54&amp;J54&amp;K54&amp;L54&lt;&gt;"",I61&amp;J61&amp;K61&amp;L61=""),SUM(P$28:$P53),IF(I61&amp;J61&amp;K61&amp;L61="","",O54*SUM(K54:L54)))</f>
        <v/>
      </c>
      <c r="Q54" s="638" t="str">
        <f t="shared" si="6"/>
        <v/>
      </c>
      <c r="R54" s="659" t="str" cm="1">
        <f t="array" ref="R54">IF(AND(COUNT(I54:L54)=4,I61&amp;J61&amp;K61&amp;L61=""),SUM(R$28:$R53),IF(I61&amp;J61&amp;K61&amp;L61="","",IF(AND(O54=1,COUNT(I54:L54)=4),N54*P54/INDEX($P$29:$P$65,MAX($Q$29:$Q$65)),"")))</f>
        <v/>
      </c>
      <c r="S54" s="1"/>
      <c r="T54" s="1"/>
      <c r="U54" s="1"/>
      <c r="V54" s="1"/>
      <c r="W54" s="1"/>
      <c r="X54" s="1"/>
      <c r="Y54" s="1"/>
      <c r="Z54" s="1"/>
      <c r="AA54" s="1"/>
      <c r="AB54" s="1"/>
      <c r="AC54" s="1"/>
      <c r="AD54" s="1"/>
      <c r="AE54" s="1"/>
      <c r="AF54" s="1"/>
      <c r="AG54" s="1"/>
      <c r="AH54" s="1"/>
    </row>
    <row r="55" spans="1:34" s="53" customFormat="1" ht="21">
      <c r="A55" s="127"/>
      <c r="B55" s="11"/>
      <c r="C55" s="11"/>
      <c r="D55" s="11"/>
      <c r="E55" s="11"/>
      <c r="F55" s="11"/>
      <c r="G55" s="1"/>
      <c r="H55" s="1"/>
      <c r="I55" s="1"/>
      <c r="J55" s="1"/>
      <c r="K55" s="1"/>
      <c r="L55" s="1"/>
      <c r="M55" s="660" t="str">
        <f t="shared" si="4"/>
        <v xml:space="preserve"> </v>
      </c>
      <c r="N55" s="660" t="str">
        <f t="shared" si="5"/>
        <v xml:space="preserve"> </v>
      </c>
      <c r="O55" s="1044" t="str">
        <f t="shared" si="2"/>
        <v/>
      </c>
      <c r="P55" s="638" t="str">
        <f>IF(AND(I55&amp;J55&amp;K55&amp;L55&lt;&gt;"",I62&amp;J62&amp;K62&amp;L62=""),SUM(P$28:$P54),IF(I62&amp;J62&amp;K62&amp;L62="","",O55*SUM(K55:L55)))</f>
        <v/>
      </c>
      <c r="Q55" s="638" t="str">
        <f t="shared" si="6"/>
        <v/>
      </c>
      <c r="R55" s="659" t="str" cm="1">
        <f t="array" ref="R55">IF(AND(COUNT(I55:L55)=4,I62&amp;J62&amp;K62&amp;L62=""),SUM(R$28:$R54),IF(I62&amp;J62&amp;K62&amp;L62="","",IF(AND(O55=1,COUNT(I55:L55)=4),N55*P55/INDEX($P$29:$P$65,MAX($Q$29:$Q$65)),"")))</f>
        <v/>
      </c>
      <c r="S55" s="1"/>
      <c r="T55" s="1"/>
      <c r="U55" s="1"/>
      <c r="V55" s="1"/>
      <c r="W55" s="1"/>
      <c r="X55" s="1"/>
      <c r="Y55" s="1"/>
      <c r="Z55" s="1"/>
      <c r="AA55" s="1"/>
      <c r="AB55" s="1"/>
      <c r="AC55" s="1"/>
      <c r="AD55" s="1"/>
      <c r="AE55" s="1"/>
      <c r="AF55" s="1"/>
      <c r="AG55" s="1"/>
      <c r="AH55" s="1"/>
    </row>
    <row r="56" spans="1:34" s="53" customFormat="1" ht="21">
      <c r="A56" s="127"/>
      <c r="B56" s="11"/>
      <c r="C56" s="11"/>
      <c r="D56" s="11"/>
      <c r="E56" s="11"/>
      <c r="F56" s="11"/>
      <c r="G56" s="1"/>
      <c r="H56" s="1"/>
      <c r="I56" s="1"/>
      <c r="J56" s="1"/>
      <c r="K56" s="1"/>
      <c r="L56" s="1"/>
      <c r="M56" s="660" t="str">
        <f t="shared" si="4"/>
        <v xml:space="preserve"> </v>
      </c>
      <c r="N56" s="660" t="str">
        <f t="shared" si="5"/>
        <v xml:space="preserve"> </v>
      </c>
      <c r="O56" s="1044" t="str">
        <f t="shared" si="2"/>
        <v/>
      </c>
      <c r="P56" s="638" t="str">
        <f>IF(AND(I56&amp;J56&amp;K56&amp;L56&lt;&gt;"",I63&amp;J63&amp;K63&amp;L63=""),SUM(P$28:$P55),IF(I63&amp;J63&amp;K63&amp;L63="","",O56*SUM(K56:L56)))</f>
        <v/>
      </c>
      <c r="Q56" s="638" t="str">
        <f t="shared" si="6"/>
        <v/>
      </c>
      <c r="R56" s="659" t="str" cm="1">
        <f t="array" ref="R56">IF(AND(COUNT(I56:L56)=4,I63&amp;J63&amp;K63&amp;L63=""),SUM(R$28:$R55),IF(I63&amp;J63&amp;K63&amp;L63="","",IF(AND(O56=1,COUNT(I56:L56)=4),N56*P56/INDEX($P$29:$P$65,MAX($Q$29:$Q$65)),"")))</f>
        <v/>
      </c>
      <c r="S56" s="1"/>
      <c r="T56" s="1"/>
      <c r="U56" s="1"/>
      <c r="V56" s="1"/>
      <c r="W56" s="1"/>
      <c r="X56" s="1"/>
      <c r="Y56" s="1"/>
      <c r="Z56" s="1"/>
      <c r="AA56" s="1"/>
      <c r="AB56" s="1"/>
      <c r="AC56" s="1"/>
      <c r="AD56" s="1"/>
      <c r="AE56" s="1"/>
      <c r="AF56" s="1"/>
      <c r="AG56" s="1"/>
      <c r="AH56" s="1"/>
    </row>
    <row r="57" spans="1:34" s="53" customFormat="1" ht="21">
      <c r="A57" s="127"/>
      <c r="B57" s="11"/>
      <c r="C57" s="11"/>
      <c r="D57" s="11"/>
      <c r="E57" s="11"/>
      <c r="F57" s="11"/>
      <c r="G57" s="1"/>
      <c r="H57" s="1"/>
      <c r="I57" s="1"/>
      <c r="J57" s="1"/>
      <c r="K57" s="1"/>
      <c r="L57" s="1"/>
      <c r="M57" s="660" t="str">
        <f t="shared" si="4"/>
        <v xml:space="preserve"> </v>
      </c>
      <c r="N57" s="660" t="str">
        <f t="shared" si="5"/>
        <v xml:space="preserve"> </v>
      </c>
      <c r="O57" s="1044" t="str">
        <f t="shared" si="2"/>
        <v/>
      </c>
      <c r="P57" s="638" t="str">
        <f>IF(AND(I57&amp;J57&amp;K57&amp;L57&lt;&gt;"",I64&amp;J64&amp;K64&amp;L64=""),SUM(P$28:$P56),IF(I64&amp;J64&amp;K64&amp;L64="","",O57*SUM(K57:L57)))</f>
        <v/>
      </c>
      <c r="Q57" s="638" t="str">
        <f t="shared" si="6"/>
        <v/>
      </c>
      <c r="R57" s="659" t="str" cm="1">
        <f t="array" ref="R57">IF(AND(COUNT(I57:L57)=4,I64&amp;J64&amp;K64&amp;L64=""),SUM(R$28:$R56),IF(I64&amp;J64&amp;K64&amp;L64="","",IF(AND(O57=1,COUNT(I57:L57)=4),N57*P57/INDEX($P$29:$P$65,MAX($Q$29:$Q$65)),"")))</f>
        <v/>
      </c>
      <c r="S57" s="1"/>
      <c r="T57" s="1"/>
      <c r="U57" s="1"/>
      <c r="V57" s="1"/>
      <c r="W57" s="1"/>
      <c r="X57" s="1"/>
      <c r="Y57" s="1"/>
      <c r="Z57" s="1"/>
      <c r="AA57" s="1"/>
      <c r="AB57" s="1"/>
      <c r="AC57" s="1"/>
      <c r="AD57" s="1"/>
      <c r="AE57" s="1"/>
      <c r="AF57" s="1"/>
      <c r="AG57" s="1"/>
      <c r="AH57" s="1"/>
    </row>
    <row r="58" spans="1:34" s="53" customFormat="1" ht="21" customHeight="1">
      <c r="A58" s="127"/>
      <c r="B58" s="11"/>
      <c r="C58" s="11"/>
      <c r="D58" s="11"/>
      <c r="E58" s="11"/>
      <c r="F58" s="11"/>
      <c r="G58" s="1"/>
      <c r="H58" s="1"/>
      <c r="I58" s="1"/>
      <c r="J58" s="1"/>
      <c r="K58" s="1"/>
      <c r="L58" s="1"/>
      <c r="M58" s="660" t="str">
        <f t="shared" si="4"/>
        <v xml:space="preserve"> </v>
      </c>
      <c r="N58" s="660" t="str">
        <f t="shared" si="5"/>
        <v xml:space="preserve"> </v>
      </c>
      <c r="O58" s="1044" t="str">
        <f t="shared" si="2"/>
        <v/>
      </c>
      <c r="P58" s="638" t="str">
        <f>IF(AND(I58&amp;J58&amp;K58&amp;L58&lt;&gt;"",I65&amp;J65&amp;K65&amp;L65=""),SUM(P$28:$P57),IF(I65&amp;J65&amp;K65&amp;L65="","",O58*SUM(K58:L58)))</f>
        <v/>
      </c>
      <c r="Q58" s="638" t="str">
        <f t="shared" si="6"/>
        <v/>
      </c>
      <c r="R58" s="659" t="str" cm="1">
        <f t="array" ref="R58">IF(AND(COUNT(I58:L58)=4,I65&amp;J65&amp;K65&amp;L65=""),SUM(R$28:$R57),IF(I65&amp;J65&amp;K65&amp;L65="","",IF(AND(O58=1,COUNT(I58:L58)=4),N58*P58/INDEX($P$29:$P$65,MAX($Q$29:$Q$65)),"")))</f>
        <v/>
      </c>
      <c r="S58" s="1"/>
      <c r="T58" s="1"/>
      <c r="U58" s="1"/>
      <c r="V58" s="1"/>
      <c r="W58" s="1"/>
      <c r="X58" s="1"/>
      <c r="Y58" s="1"/>
      <c r="Z58" s="1"/>
      <c r="AA58" s="1"/>
      <c r="AB58" s="1"/>
      <c r="AC58" s="1"/>
      <c r="AD58" s="1"/>
      <c r="AE58" s="1"/>
      <c r="AF58" s="1"/>
      <c r="AG58" s="1"/>
      <c r="AH58" s="1"/>
    </row>
    <row r="59" spans="1:34" s="53" customFormat="1" ht="21">
      <c r="A59" s="127"/>
      <c r="B59" s="11"/>
      <c r="C59" s="11"/>
      <c r="D59" s="11"/>
      <c r="E59" s="11"/>
      <c r="F59" s="11"/>
      <c r="G59" s="1"/>
      <c r="H59" s="1"/>
      <c r="I59" s="1"/>
      <c r="J59" s="1"/>
      <c r="K59" s="1"/>
      <c r="L59" s="1"/>
      <c r="M59" s="660" t="str">
        <f t="shared" si="4"/>
        <v xml:space="preserve"> </v>
      </c>
      <c r="N59" s="660" t="str">
        <f t="shared" si="5"/>
        <v xml:space="preserve"> </v>
      </c>
      <c r="O59" s="1044" t="str">
        <f t="shared" si="2"/>
        <v/>
      </c>
      <c r="P59" s="638" t="str">
        <f>IF(AND(I59&amp;J59&amp;K59&amp;L59&lt;&gt;"",I66&amp;J66&amp;K66&amp;L66=""),SUM(P$28:$P58),IF(I66&amp;J66&amp;K66&amp;L66="","",O59*SUM(K59:L59)))</f>
        <v/>
      </c>
      <c r="Q59" s="638" t="str">
        <f t="shared" si="6"/>
        <v/>
      </c>
      <c r="R59" s="659" t="str" cm="1">
        <f t="array" ref="R59">IF(AND(COUNT(I59:L59)=4,I66&amp;J66&amp;K66&amp;L66=""),SUM(R$28:$R58),IF(I66&amp;J66&amp;K66&amp;L66="","",IF(AND(O59=1,COUNT(I59:L59)=4),N59*P59/INDEX($P$29:$P$65,MAX($Q$29:$Q$65)),"")))</f>
        <v/>
      </c>
      <c r="S59" s="1"/>
      <c r="T59" s="1"/>
      <c r="U59" s="1"/>
      <c r="V59" s="1"/>
      <c r="W59" s="1"/>
      <c r="X59" s="1"/>
      <c r="Y59" s="1"/>
      <c r="Z59" s="1"/>
      <c r="AA59" s="1"/>
      <c r="AB59" s="1"/>
      <c r="AC59" s="1"/>
      <c r="AD59" s="1"/>
      <c r="AE59" s="1"/>
      <c r="AF59" s="1"/>
      <c r="AG59" s="1"/>
      <c r="AH59" s="1"/>
    </row>
    <row r="60" spans="1:34" s="53" customFormat="1" ht="21">
      <c r="A60" s="127"/>
      <c r="B60" s="11"/>
      <c r="C60" s="11"/>
      <c r="D60" s="11"/>
      <c r="E60" s="11"/>
      <c r="F60" s="11"/>
      <c r="G60" s="1"/>
      <c r="H60" s="1"/>
      <c r="I60" s="1"/>
      <c r="J60" s="1"/>
      <c r="K60" s="1"/>
      <c r="L60" s="1"/>
      <c r="M60" s="660" t="str">
        <f t="shared" si="4"/>
        <v xml:space="preserve"> </v>
      </c>
      <c r="N60" s="660" t="str">
        <f t="shared" si="5"/>
        <v xml:space="preserve"> </v>
      </c>
      <c r="O60" s="1044" t="str">
        <f t="shared" si="2"/>
        <v/>
      </c>
      <c r="P60" s="638" t="str">
        <f>IF(AND(I60&amp;J60&amp;K60&amp;L60&lt;&gt;"",I67&amp;J67&amp;K67&amp;L67=""),SUM(P$28:$P59),IF(I67&amp;J67&amp;K67&amp;L67="","",O60*SUM(K60:L60)))</f>
        <v/>
      </c>
      <c r="Q60" s="638" t="str">
        <f t="shared" si="6"/>
        <v/>
      </c>
      <c r="R60" s="659" t="str" cm="1">
        <f t="array" ref="R60">IF(AND(COUNT(I60:L60)=4,I67&amp;J67&amp;K67&amp;L67=""),SUM(R$28:$R59),IF(I67&amp;J67&amp;K67&amp;L67="","",IF(AND(O60=1,COUNT(I60:L60)=4),N60*P60/INDEX($P$29:$P$65,MAX($Q$29:$Q$65)),"")))</f>
        <v/>
      </c>
      <c r="S60" s="1"/>
      <c r="T60" s="1"/>
      <c r="U60" s="1"/>
      <c r="V60" s="1"/>
      <c r="W60" s="1"/>
      <c r="X60" s="1"/>
      <c r="Y60" s="1"/>
      <c r="Z60" s="1"/>
      <c r="AA60" s="1"/>
      <c r="AB60" s="1"/>
      <c r="AC60" s="1"/>
      <c r="AD60" s="1"/>
      <c r="AE60" s="1"/>
      <c r="AF60" s="1"/>
      <c r="AG60" s="1"/>
      <c r="AH60" s="1"/>
    </row>
    <row r="61" spans="1:34" s="53" customFormat="1" ht="21">
      <c r="A61" s="127"/>
      <c r="B61" s="11"/>
      <c r="C61" s="11"/>
      <c r="D61" s="11"/>
      <c r="E61" s="11"/>
      <c r="F61" s="11"/>
      <c r="G61" s="1"/>
      <c r="H61" s="1"/>
      <c r="I61" s="1"/>
      <c r="J61" s="1"/>
      <c r="K61" s="1"/>
      <c r="L61" s="1"/>
      <c r="M61" s="660" t="str">
        <f t="shared" si="4"/>
        <v xml:space="preserve"> </v>
      </c>
      <c r="N61" s="660" t="str">
        <f t="shared" si="5"/>
        <v xml:space="preserve"> </v>
      </c>
      <c r="O61" s="1044" t="str">
        <f t="shared" si="2"/>
        <v/>
      </c>
      <c r="P61" s="638" t="str">
        <f>IF(AND(I61&amp;J61&amp;K61&amp;L61&lt;&gt;"",I68&amp;J68&amp;K68&amp;L68=""),SUM(P$28:$P60),IF(I68&amp;J68&amp;K68&amp;L68="","",O61*SUM(K61:L61)))</f>
        <v/>
      </c>
      <c r="Q61" s="638" t="str">
        <f t="shared" si="6"/>
        <v/>
      </c>
      <c r="R61" s="659" t="str" cm="1">
        <f t="array" ref="R61">IF(AND(COUNT(I61:L61)=4,I68&amp;J68&amp;K68&amp;L68=""),SUM(R$28:$R60),IF(I68&amp;J68&amp;K68&amp;L68="","",IF(AND(O61=1,COUNT(I61:L61)=4),N61*P61/INDEX($P$29:$P$65,MAX($Q$29:$Q$65)),"")))</f>
        <v/>
      </c>
      <c r="S61" s="1"/>
      <c r="T61" s="1"/>
      <c r="U61" s="1"/>
      <c r="V61" s="1"/>
      <c r="W61" s="1"/>
      <c r="X61" s="1"/>
      <c r="Y61" s="1"/>
      <c r="Z61" s="1"/>
      <c r="AA61" s="1"/>
      <c r="AB61" s="1"/>
      <c r="AC61" s="1"/>
      <c r="AD61" s="1"/>
      <c r="AE61" s="1"/>
      <c r="AF61" s="1"/>
      <c r="AG61" s="1"/>
      <c r="AH61" s="1"/>
    </row>
    <row r="62" spans="1:34" s="53" customFormat="1" ht="21">
      <c r="A62" s="127"/>
      <c r="B62" s="11"/>
      <c r="C62" s="11"/>
      <c r="D62" s="11"/>
      <c r="E62" s="11"/>
      <c r="F62" s="11"/>
      <c r="G62" s="1"/>
      <c r="H62" s="1"/>
      <c r="I62" s="1"/>
      <c r="J62" s="1"/>
      <c r="K62" s="1"/>
      <c r="L62" s="1"/>
      <c r="M62" s="660" t="str">
        <f t="shared" si="4"/>
        <v xml:space="preserve"> </v>
      </c>
      <c r="N62" s="660" t="str">
        <f t="shared" si="5"/>
        <v xml:space="preserve"> </v>
      </c>
      <c r="O62" s="1044" t="str">
        <f t="shared" si="2"/>
        <v/>
      </c>
      <c r="P62" s="638" t="str">
        <f>IF(AND(I62&amp;J62&amp;K62&amp;L62&lt;&gt;"",I69&amp;J69&amp;K69&amp;L69=""),SUM(P$28:$P61),IF(I69&amp;J69&amp;K69&amp;L69="","",O62*SUM(K62:L62)))</f>
        <v/>
      </c>
      <c r="Q62" s="638" t="str">
        <f t="shared" si="6"/>
        <v/>
      </c>
      <c r="R62" s="659" t="str" cm="1">
        <f t="array" ref="R62">IF(AND(COUNT(I62:L62)=4,I69&amp;J69&amp;K69&amp;L69=""),SUM(R$28:$R61),IF(I69&amp;J69&amp;K69&amp;L69="","",IF(AND(O62=1,COUNT(I62:L62)=4),N62*P62/INDEX($P$29:$P$65,MAX($Q$29:$Q$65)),"")))</f>
        <v/>
      </c>
      <c r="S62" s="1"/>
      <c r="T62" s="1"/>
      <c r="U62" s="1"/>
      <c r="V62" s="1"/>
      <c r="W62" s="1"/>
      <c r="X62" s="1"/>
      <c r="Y62" s="1"/>
      <c r="Z62" s="1"/>
      <c r="AA62" s="1"/>
      <c r="AB62" s="1"/>
      <c r="AC62" s="1"/>
      <c r="AD62" s="1"/>
      <c r="AE62" s="1"/>
      <c r="AF62" s="1"/>
      <c r="AG62" s="1"/>
      <c r="AH62" s="1"/>
    </row>
    <row r="63" spans="1:34" s="53" customFormat="1" ht="21">
      <c r="A63" s="127"/>
      <c r="B63" s="11"/>
      <c r="C63" s="11"/>
      <c r="D63" s="11"/>
      <c r="E63" s="11"/>
      <c r="F63" s="11"/>
      <c r="G63" s="1"/>
      <c r="H63" s="1"/>
      <c r="I63" s="1"/>
      <c r="J63" s="1"/>
      <c r="K63" s="1"/>
      <c r="L63" s="1"/>
      <c r="M63" s="660" t="str">
        <f t="shared" si="4"/>
        <v xml:space="preserve"> </v>
      </c>
      <c r="N63" s="660" t="str">
        <f t="shared" si="5"/>
        <v xml:space="preserve"> </v>
      </c>
      <c r="O63" s="1044" t="str">
        <f t="shared" si="2"/>
        <v/>
      </c>
      <c r="P63" s="638" t="str">
        <f>IF(AND(I63&amp;J63&amp;K63&amp;L63&lt;&gt;"",I70&amp;J70&amp;K70&amp;L70=""),SUM(P$28:$P62),IF(I70&amp;J70&amp;K70&amp;L70="","",O63*SUM(K63:L63)))</f>
        <v/>
      </c>
      <c r="Q63" s="638" t="str">
        <f t="shared" si="6"/>
        <v/>
      </c>
      <c r="R63" s="659" t="str" cm="1">
        <f t="array" ref="R63">IF(AND(COUNT(I63:L63)=4,I70&amp;J70&amp;K70&amp;L70=""),SUM(R$28:$R62),IF(I70&amp;J70&amp;K70&amp;L70="","",IF(AND(O63=1,COUNT(I63:L63)=4),N63*P63/INDEX($P$29:$P$65,MAX($Q$29:$Q$65)),"")))</f>
        <v/>
      </c>
      <c r="S63" s="1"/>
      <c r="T63" s="1"/>
      <c r="U63" s="1"/>
      <c r="V63" s="1"/>
      <c r="W63" s="1"/>
      <c r="X63" s="1"/>
      <c r="Y63" s="1"/>
      <c r="Z63" s="1"/>
      <c r="AA63" s="1"/>
      <c r="AB63" s="1"/>
      <c r="AC63" s="1"/>
      <c r="AD63" s="1"/>
      <c r="AE63" s="1"/>
      <c r="AF63" s="1"/>
      <c r="AG63" s="1"/>
      <c r="AH63" s="1"/>
    </row>
    <row r="64" spans="1:34" s="53" customFormat="1" ht="21">
      <c r="A64" s="127"/>
      <c r="B64" s="11"/>
      <c r="C64" s="11"/>
      <c r="D64" s="11"/>
      <c r="E64" s="11"/>
      <c r="F64" s="11"/>
      <c r="G64" s="1"/>
      <c r="H64" s="1"/>
      <c r="I64" s="1"/>
      <c r="J64" s="1"/>
      <c r="K64" s="1"/>
      <c r="L64" s="1"/>
      <c r="M64" s="660" t="str">
        <f t="shared" si="4"/>
        <v xml:space="preserve"> </v>
      </c>
      <c r="N64" s="660" t="str">
        <f t="shared" si="5"/>
        <v xml:space="preserve"> </v>
      </c>
      <c r="O64" s="1044" t="str">
        <f t="shared" si="2"/>
        <v/>
      </c>
      <c r="P64" s="638" t="str">
        <f>IF(AND(I64&amp;J64&amp;K64&amp;L64&lt;&gt;"",I71&amp;J71&amp;K71&amp;L71=""),SUM(P$28:$P63),IF(I71&amp;J71&amp;K71&amp;L71="","",O64*SUM(K64:L64)))</f>
        <v/>
      </c>
      <c r="Q64" s="638" t="str">
        <f t="shared" si="6"/>
        <v/>
      </c>
      <c r="R64" s="659" t="str" cm="1">
        <f t="array" ref="R64">IF(AND(COUNT(I64:L64)=4,I71&amp;J71&amp;K71&amp;L71=""),SUM(R$28:$R63),IF(I71&amp;J71&amp;K71&amp;L71="","",IF(AND(O64=1,COUNT(I64:L64)=4),N64*P64/INDEX($P$29:$P$65,MAX($Q$29:$Q$65)),"")))</f>
        <v/>
      </c>
      <c r="S64" s="1"/>
      <c r="T64" s="1"/>
      <c r="U64" s="1"/>
      <c r="V64" s="1"/>
      <c r="W64" s="1"/>
      <c r="X64" s="1"/>
      <c r="Y64" s="1"/>
      <c r="Z64" s="1"/>
      <c r="AA64" s="1"/>
      <c r="AB64" s="1"/>
      <c r="AC64" s="1"/>
      <c r="AD64" s="1"/>
      <c r="AE64" s="1"/>
      <c r="AF64" s="1"/>
      <c r="AG64" s="1"/>
      <c r="AH64" s="1"/>
    </row>
    <row r="65" spans="1:34" s="53" customFormat="1" ht="21">
      <c r="A65" s="127"/>
      <c r="B65" s="11"/>
      <c r="C65" s="11"/>
      <c r="D65" s="11"/>
      <c r="E65" s="11"/>
      <c r="F65" s="11"/>
      <c r="G65" s="1"/>
      <c r="H65" s="1"/>
      <c r="I65" s="1"/>
      <c r="J65" s="1"/>
      <c r="K65" s="1"/>
      <c r="L65" s="1"/>
      <c r="M65" s="660" t="str">
        <f t="shared" si="4"/>
        <v xml:space="preserve"> </v>
      </c>
      <c r="N65" s="660" t="str">
        <f t="shared" si="5"/>
        <v xml:space="preserve"> </v>
      </c>
      <c r="O65" s="1044" t="str">
        <f t="shared" si="2"/>
        <v/>
      </c>
      <c r="P65" s="638" t="str">
        <f>IF(AND(I65&amp;J65&amp;K65&amp;L65&lt;&gt;"",I72&amp;J72&amp;K72&amp;L72=""),SUM(P$28:$P64),IF(I72&amp;J72&amp;K72&amp;L72="","",O65*SUM(K65:L65)))</f>
        <v/>
      </c>
      <c r="Q65" s="638" t="str">
        <f t="shared" si="6"/>
        <v/>
      </c>
      <c r="R65" s="659" t="str" cm="1">
        <f t="array" ref="R65">IF(AND(COUNT(I65:L65)=4,I72&amp;J72&amp;K72&amp;L72=""),SUM(R$28:$R64),IF(I72&amp;J72&amp;K72&amp;L72="","",IF(AND(O65=1,COUNT(I65:L65)=4),N65*P65/INDEX($P$29:$P$65,MAX($Q$29:$Q$65)),"")))</f>
        <v/>
      </c>
      <c r="S65" s="1"/>
      <c r="T65" s="1"/>
      <c r="U65" s="1"/>
      <c r="V65" s="1"/>
      <c r="W65" s="1"/>
      <c r="X65" s="1"/>
      <c r="Y65" s="1"/>
      <c r="Z65" s="1"/>
      <c r="AA65" s="1"/>
      <c r="AB65" s="1"/>
      <c r="AC65" s="1"/>
      <c r="AD65" s="1"/>
      <c r="AE65" s="1"/>
      <c r="AF65" s="1"/>
      <c r="AG65" s="1"/>
      <c r="AH65" s="1"/>
    </row>
    <row r="66" spans="1:34" s="53" customFormat="1">
      <c r="A66" s="127"/>
      <c r="B66" s="11"/>
      <c r="C66" s="11"/>
      <c r="D66" s="11"/>
      <c r="E66" s="11"/>
      <c r="F66" s="11"/>
      <c r="G66" s="1"/>
      <c r="H66" s="1"/>
      <c r="I66" s="1"/>
      <c r="J66" s="1"/>
      <c r="K66" s="1"/>
      <c r="L66" s="1"/>
      <c r="M66" s="411"/>
      <c r="N66" s="411"/>
      <c r="O66" s="639"/>
      <c r="P66" s="639"/>
      <c r="Q66" s="639"/>
      <c r="R66" s="639"/>
      <c r="S66" s="1"/>
      <c r="T66" s="1"/>
      <c r="U66" s="1"/>
      <c r="V66" s="1"/>
      <c r="W66" s="1"/>
      <c r="X66" s="1"/>
      <c r="Y66" s="1"/>
      <c r="Z66" s="1"/>
      <c r="AA66" s="1"/>
      <c r="AB66" s="1"/>
      <c r="AC66" s="1"/>
      <c r="AD66" s="1"/>
      <c r="AE66" s="1"/>
      <c r="AF66" s="1"/>
      <c r="AG66" s="1"/>
      <c r="AH66" s="1"/>
    </row>
    <row r="67" spans="1:34" s="53" customFormat="1">
      <c r="A67" s="127"/>
      <c r="B67" s="11"/>
      <c r="C67" s="11"/>
      <c r="D67" s="11"/>
      <c r="E67" s="11"/>
      <c r="F67" s="11"/>
      <c r="G67" s="1"/>
      <c r="H67" s="1"/>
      <c r="I67" s="1"/>
      <c r="J67" s="1"/>
      <c r="K67" s="1"/>
      <c r="L67" s="1"/>
      <c r="M67" s="411"/>
      <c r="N67" s="411"/>
      <c r="O67" s="1"/>
      <c r="P67" s="1"/>
      <c r="Q67" s="1"/>
      <c r="R67" s="1"/>
      <c r="S67" s="1"/>
      <c r="T67" s="1"/>
      <c r="U67" s="1"/>
      <c r="V67" s="1"/>
      <c r="W67" s="1"/>
      <c r="X67" s="1"/>
      <c r="Y67" s="1"/>
      <c r="Z67" s="1"/>
      <c r="AA67" s="1"/>
      <c r="AB67" s="1"/>
      <c r="AC67" s="1"/>
      <c r="AD67" s="1"/>
      <c r="AE67" s="1"/>
      <c r="AF67" s="1"/>
      <c r="AG67" s="1"/>
      <c r="AH67" s="1"/>
    </row>
    <row r="68" spans="1:34" s="53" customFormat="1">
      <c r="A68" s="127"/>
      <c r="B68" s="11"/>
      <c r="C68" s="11"/>
      <c r="D68" s="11"/>
      <c r="E68" s="11"/>
      <c r="F68" s="11"/>
      <c r="G68" s="1"/>
      <c r="H68" s="1"/>
      <c r="I68" s="1"/>
      <c r="J68" s="1"/>
      <c r="K68" s="1"/>
      <c r="L68" s="1"/>
      <c r="M68" s="411"/>
      <c r="N68" s="411"/>
      <c r="O68" s="1"/>
      <c r="P68" s="1"/>
      <c r="Q68" s="1"/>
      <c r="R68" s="1"/>
      <c r="S68" s="1"/>
      <c r="T68" s="1"/>
      <c r="U68" s="1"/>
      <c r="V68" s="1"/>
      <c r="W68" s="1"/>
      <c r="X68" s="1"/>
      <c r="Y68" s="1"/>
      <c r="Z68" s="1"/>
      <c r="AA68" s="1"/>
      <c r="AB68" s="1"/>
      <c r="AC68" s="1"/>
      <c r="AD68" s="1"/>
      <c r="AE68" s="1"/>
      <c r="AF68" s="1"/>
      <c r="AG68" s="1"/>
      <c r="AH68" s="1"/>
    </row>
    <row r="69" spans="1:34" s="53" customFormat="1">
      <c r="A69" s="127"/>
      <c r="B69" s="11"/>
      <c r="C69" s="11"/>
      <c r="D69" s="11"/>
      <c r="E69" s="11"/>
      <c r="F69" s="11"/>
      <c r="G69" s="1"/>
      <c r="H69" s="1"/>
      <c r="I69" s="1"/>
      <c r="J69" s="1"/>
      <c r="K69" s="1"/>
      <c r="L69" s="1"/>
      <c r="M69" s="411"/>
      <c r="N69" s="411"/>
      <c r="O69" s="1"/>
      <c r="P69" s="1"/>
      <c r="Q69" s="1"/>
      <c r="R69" s="1"/>
      <c r="S69" s="1"/>
      <c r="T69" s="1"/>
      <c r="U69" s="1"/>
      <c r="V69" s="1"/>
      <c r="W69" s="1"/>
      <c r="X69" s="1"/>
      <c r="Y69" s="1"/>
      <c r="Z69" s="1"/>
      <c r="AA69" s="1"/>
      <c r="AB69" s="1"/>
      <c r="AC69" s="1"/>
      <c r="AD69" s="1"/>
      <c r="AE69" s="1"/>
      <c r="AF69" s="1"/>
      <c r="AG69" s="1"/>
      <c r="AH69" s="1"/>
    </row>
    <row r="70" spans="1:34" s="53" customFormat="1">
      <c r="A70" s="127"/>
      <c r="B70" s="11"/>
      <c r="C70" s="11"/>
      <c r="D70" s="11"/>
      <c r="E70" s="11"/>
      <c r="F70" s="11"/>
      <c r="G70" s="1"/>
      <c r="H70" s="1"/>
      <c r="I70" s="1"/>
      <c r="J70" s="1"/>
      <c r="K70" s="1"/>
      <c r="L70" s="1"/>
      <c r="M70" s="411"/>
      <c r="N70" s="411"/>
      <c r="O70" s="1"/>
      <c r="P70" s="1"/>
      <c r="Q70" s="1"/>
      <c r="R70" s="1"/>
      <c r="S70" s="1"/>
      <c r="T70" s="1"/>
      <c r="U70" s="1"/>
      <c r="V70" s="1"/>
      <c r="W70" s="1"/>
      <c r="X70" s="1"/>
      <c r="Y70" s="1"/>
      <c r="Z70" s="1"/>
      <c r="AA70" s="1"/>
      <c r="AB70" s="1"/>
      <c r="AC70" s="1"/>
      <c r="AD70" s="1"/>
      <c r="AE70" s="1"/>
      <c r="AF70" s="1"/>
      <c r="AG70" s="1"/>
      <c r="AH70" s="1"/>
    </row>
    <row r="71" spans="1:34" s="53" customFormat="1">
      <c r="A71" s="127"/>
      <c r="B71" s="11"/>
      <c r="C71" s="11"/>
      <c r="D71" s="11"/>
      <c r="E71" s="11"/>
      <c r="F71" s="11"/>
      <c r="G71" s="1"/>
      <c r="H71" s="1"/>
      <c r="I71" s="1"/>
      <c r="J71" s="1"/>
      <c r="K71" s="1"/>
      <c r="L71" s="1"/>
      <c r="M71" s="411"/>
      <c r="N71" s="411"/>
      <c r="O71" s="1"/>
      <c r="P71" s="1"/>
      <c r="Q71" s="1"/>
      <c r="R71" s="1"/>
      <c r="S71" s="1"/>
      <c r="T71" s="1"/>
      <c r="U71" s="1"/>
      <c r="V71" s="1"/>
      <c r="W71" s="1"/>
      <c r="X71" s="1"/>
      <c r="Y71" s="1"/>
      <c r="Z71" s="1"/>
      <c r="AA71" s="1"/>
      <c r="AB71" s="1"/>
      <c r="AC71" s="1"/>
      <c r="AD71" s="1"/>
      <c r="AE71" s="1"/>
      <c r="AF71" s="1"/>
      <c r="AG71" s="1"/>
      <c r="AH71" s="1"/>
    </row>
    <row r="72" spans="1:34" s="53" customFormat="1">
      <c r="A72" s="127"/>
      <c r="B72" s="11"/>
      <c r="C72" s="11"/>
      <c r="D72" s="11"/>
      <c r="E72" s="11"/>
      <c r="F72" s="11"/>
      <c r="G72" s="1"/>
      <c r="H72" s="1"/>
      <c r="I72" s="1"/>
      <c r="J72" s="1"/>
      <c r="K72" s="1"/>
      <c r="L72" s="1"/>
      <c r="M72" s="411"/>
      <c r="N72" s="411"/>
      <c r="O72" s="1"/>
      <c r="P72" s="1"/>
      <c r="Q72" s="1"/>
      <c r="R72" s="1"/>
      <c r="S72" s="1"/>
      <c r="T72" s="1"/>
      <c r="U72" s="1"/>
      <c r="V72" s="1"/>
      <c r="W72" s="1"/>
      <c r="X72" s="1"/>
      <c r="Y72" s="1"/>
      <c r="Z72" s="1"/>
      <c r="AA72" s="1"/>
      <c r="AB72" s="1"/>
      <c r="AC72" s="1"/>
      <c r="AD72" s="1"/>
      <c r="AE72" s="1"/>
      <c r="AF72" s="1"/>
      <c r="AG72" s="1"/>
      <c r="AH72" s="1"/>
    </row>
    <row r="73" spans="1:34" s="53" customFormat="1">
      <c r="A73" s="127"/>
      <c r="B73" s="11"/>
      <c r="C73" s="11"/>
      <c r="D73" s="11"/>
      <c r="E73" s="11"/>
      <c r="F73" s="11"/>
      <c r="G73" s="1"/>
      <c r="H73" s="1"/>
      <c r="I73" s="1"/>
      <c r="J73" s="1"/>
      <c r="K73" s="1"/>
      <c r="L73" s="1"/>
      <c r="M73" s="411"/>
      <c r="N73" s="411"/>
      <c r="O73" s="1"/>
      <c r="P73" s="1"/>
      <c r="Q73" s="1"/>
      <c r="R73" s="1"/>
      <c r="S73" s="1"/>
      <c r="T73" s="1"/>
      <c r="U73" s="1"/>
      <c r="V73" s="1"/>
      <c r="W73" s="1"/>
      <c r="X73" s="1"/>
      <c r="Y73" s="1"/>
      <c r="Z73" s="1"/>
      <c r="AA73" s="1"/>
      <c r="AB73" s="1"/>
      <c r="AC73" s="1"/>
      <c r="AD73" s="1"/>
      <c r="AE73" s="1"/>
      <c r="AF73" s="1"/>
      <c r="AG73" s="1"/>
      <c r="AH73" s="1"/>
    </row>
    <row r="74" spans="1:34" s="53" customFormat="1">
      <c r="A74" s="127"/>
      <c r="B74" s="11"/>
      <c r="C74" s="11"/>
      <c r="D74" s="11"/>
      <c r="E74" s="11"/>
      <c r="F74" s="11"/>
      <c r="G74" s="1"/>
      <c r="H74" s="1"/>
      <c r="I74" s="1"/>
      <c r="J74" s="1"/>
      <c r="K74" s="1"/>
      <c r="L74" s="1"/>
      <c r="M74" s="411"/>
      <c r="N74" s="411"/>
      <c r="O74" s="1"/>
      <c r="P74" s="1"/>
      <c r="Q74" s="1"/>
      <c r="R74" s="1"/>
      <c r="S74" s="1"/>
      <c r="T74" s="1"/>
      <c r="U74" s="1"/>
      <c r="V74" s="1"/>
      <c r="W74" s="1"/>
      <c r="X74" s="1"/>
      <c r="Y74" s="1"/>
      <c r="Z74" s="1"/>
      <c r="AA74" s="1"/>
      <c r="AB74" s="1"/>
      <c r="AC74" s="1"/>
      <c r="AD74" s="1"/>
      <c r="AE74" s="1"/>
      <c r="AF74" s="1"/>
      <c r="AG74" s="1"/>
      <c r="AH74" s="1"/>
    </row>
    <row r="75" spans="1:34" s="53" customFormat="1">
      <c r="A75" s="127"/>
      <c r="B75" s="11"/>
      <c r="C75" s="11"/>
      <c r="D75" s="11"/>
      <c r="E75" s="11"/>
      <c r="F75" s="11"/>
      <c r="G75" s="1"/>
      <c r="H75" s="1"/>
      <c r="I75" s="1"/>
      <c r="J75" s="1"/>
      <c r="K75" s="1"/>
      <c r="L75" s="1"/>
      <c r="M75" s="411"/>
      <c r="N75" s="411"/>
      <c r="O75" s="1"/>
      <c r="P75" s="1"/>
      <c r="Q75" s="1"/>
      <c r="R75" s="1"/>
      <c r="S75" s="1"/>
      <c r="T75" s="1"/>
      <c r="U75" s="1"/>
      <c r="V75" s="1"/>
      <c r="W75" s="1"/>
      <c r="X75" s="1"/>
      <c r="Y75" s="1"/>
      <c r="Z75" s="1"/>
      <c r="AA75" s="1"/>
      <c r="AB75" s="1"/>
      <c r="AC75" s="1"/>
      <c r="AD75" s="1"/>
      <c r="AE75" s="1"/>
      <c r="AF75" s="1"/>
      <c r="AG75" s="1"/>
      <c r="AH75" s="1"/>
    </row>
    <row r="76" spans="1:34" s="53" customFormat="1">
      <c r="A76" s="127"/>
      <c r="B76" s="11"/>
      <c r="C76" s="11"/>
      <c r="D76" s="11"/>
      <c r="E76" s="11"/>
      <c r="F76" s="11"/>
      <c r="G76" s="1"/>
      <c r="H76" s="1"/>
      <c r="I76" s="1"/>
      <c r="J76" s="1"/>
      <c r="K76" s="1"/>
      <c r="L76" s="1"/>
      <c r="M76" s="411"/>
      <c r="N76" s="411"/>
      <c r="O76" s="1"/>
      <c r="P76" s="1"/>
      <c r="Q76" s="1"/>
      <c r="R76" s="1"/>
      <c r="S76" s="1"/>
      <c r="T76" s="1"/>
      <c r="U76" s="1"/>
      <c r="V76" s="1"/>
      <c r="W76" s="1"/>
      <c r="X76" s="1"/>
      <c r="Y76" s="1"/>
      <c r="Z76" s="1"/>
      <c r="AA76" s="1"/>
      <c r="AB76" s="1"/>
      <c r="AC76" s="1"/>
      <c r="AD76" s="1"/>
      <c r="AE76" s="1"/>
      <c r="AF76" s="1"/>
      <c r="AG76" s="1"/>
      <c r="AH76" s="1"/>
    </row>
    <row r="77" spans="1:34" s="53" customFormat="1" ht="21" customHeight="1">
      <c r="A77" s="127"/>
      <c r="B77" s="11"/>
      <c r="C77" s="11"/>
      <c r="D77" s="11"/>
      <c r="E77" s="11"/>
      <c r="F77" s="11"/>
      <c r="G77" s="1"/>
      <c r="H77" s="1"/>
      <c r="I77" s="1"/>
      <c r="J77" s="1"/>
      <c r="K77" s="1"/>
      <c r="L77" s="1"/>
      <c r="M77" s="411"/>
      <c r="N77" s="411"/>
      <c r="O77" s="1"/>
      <c r="P77" s="1"/>
      <c r="Q77" s="1"/>
      <c r="R77" s="1"/>
      <c r="S77" s="1"/>
      <c r="T77" s="1"/>
      <c r="U77" s="1"/>
      <c r="V77" s="1"/>
      <c r="W77" s="1"/>
      <c r="X77" s="1"/>
      <c r="Y77" s="1"/>
      <c r="Z77" s="1"/>
      <c r="AA77" s="1"/>
      <c r="AB77" s="1"/>
      <c r="AC77" s="1"/>
      <c r="AD77" s="1"/>
      <c r="AE77" s="1"/>
      <c r="AF77" s="1"/>
      <c r="AG77" s="1"/>
      <c r="AH77" s="1"/>
    </row>
    <row r="78" spans="1:34" s="53" customFormat="1">
      <c r="A78" s="127"/>
      <c r="B78" s="11"/>
      <c r="C78" s="11"/>
      <c r="D78" s="11"/>
      <c r="E78" s="11"/>
      <c r="F78" s="11"/>
      <c r="G78" s="1"/>
      <c r="H78" s="1"/>
      <c r="I78" s="1"/>
      <c r="J78" s="1"/>
      <c r="K78" s="1"/>
      <c r="L78" s="1"/>
      <c r="M78" s="411"/>
      <c r="N78" s="411"/>
      <c r="O78" s="1"/>
      <c r="P78" s="1"/>
      <c r="Q78" s="1"/>
      <c r="R78" s="1"/>
      <c r="S78" s="1"/>
      <c r="T78" s="1"/>
      <c r="U78" s="1"/>
      <c r="V78" s="1"/>
      <c r="W78" s="1"/>
      <c r="X78" s="1"/>
      <c r="Y78" s="1"/>
      <c r="Z78" s="1"/>
      <c r="AA78" s="1"/>
      <c r="AB78" s="1"/>
      <c r="AC78" s="1"/>
      <c r="AD78" s="1"/>
      <c r="AE78" s="1"/>
      <c r="AF78" s="1"/>
      <c r="AG78" s="1"/>
      <c r="AH78" s="1"/>
    </row>
    <row r="79" spans="1:34" s="53" customFormat="1" ht="22" customHeight="1">
      <c r="A79" s="127"/>
      <c r="B79" s="11"/>
      <c r="C79" s="11"/>
      <c r="D79" s="11"/>
      <c r="E79" s="11"/>
      <c r="F79" s="11"/>
      <c r="G79" s="1"/>
      <c r="H79" s="1"/>
      <c r="I79" s="1"/>
      <c r="J79" s="1"/>
      <c r="K79" s="1"/>
      <c r="L79" s="1"/>
      <c r="M79" s="411"/>
      <c r="N79" s="411"/>
      <c r="O79" s="1"/>
      <c r="P79" s="1"/>
      <c r="Q79" s="1"/>
      <c r="R79" s="1"/>
      <c r="S79" s="1"/>
      <c r="T79" s="1"/>
      <c r="U79" s="1"/>
      <c r="V79" s="1"/>
      <c r="W79" s="1"/>
      <c r="X79" s="1"/>
      <c r="Y79" s="1"/>
      <c r="Z79" s="1"/>
      <c r="AA79" s="1"/>
      <c r="AB79" s="1"/>
      <c r="AC79" s="1"/>
      <c r="AD79" s="1"/>
      <c r="AE79" s="1"/>
      <c r="AF79" s="1"/>
      <c r="AG79" s="1"/>
      <c r="AH79" s="1"/>
    </row>
    <row r="80" spans="1:34" s="53" customFormat="1" ht="22" customHeight="1">
      <c r="A80" s="127"/>
      <c r="B80" s="11"/>
      <c r="C80" s="11"/>
      <c r="D80" s="11"/>
      <c r="E80" s="11"/>
      <c r="F80" s="11"/>
      <c r="G80" s="1"/>
      <c r="H80" s="1"/>
      <c r="I80" s="1"/>
      <c r="J80" s="1"/>
      <c r="K80" s="1"/>
      <c r="L80" s="1"/>
      <c r="M80" s="411"/>
      <c r="N80" s="411"/>
      <c r="O80" s="1"/>
      <c r="P80" s="1"/>
      <c r="Q80" s="1"/>
      <c r="R80" s="1"/>
      <c r="S80" s="1"/>
      <c r="T80" s="1"/>
      <c r="U80" s="1"/>
      <c r="V80" s="1"/>
      <c r="W80" s="1"/>
      <c r="X80" s="1"/>
      <c r="Y80" s="1"/>
      <c r="Z80" s="1"/>
      <c r="AA80" s="1"/>
      <c r="AB80" s="1"/>
      <c r="AC80" s="1"/>
      <c r="AD80" s="1"/>
      <c r="AE80" s="1"/>
      <c r="AF80" s="1"/>
      <c r="AG80" s="1"/>
      <c r="AH80" s="1"/>
    </row>
    <row r="81" ht="22" customHeight="1"/>
    <row r="82" ht="22" customHeight="1"/>
  </sheetData>
  <sortState xmlns:xlrd2="http://schemas.microsoft.com/office/spreadsheetml/2017/richdata2" ref="G26:L43">
    <sortCondition ref="G29"/>
  </sortState>
  <mergeCells count="13">
    <mergeCell ref="C9:E9"/>
    <mergeCell ref="C11:E11"/>
    <mergeCell ref="J17:R17"/>
    <mergeCell ref="M26:M28"/>
    <mergeCell ref="N26:N28"/>
    <mergeCell ref="R26:R28"/>
    <mergeCell ref="P26:P28"/>
    <mergeCell ref="O26:O28"/>
    <mergeCell ref="G47:I47"/>
    <mergeCell ref="AU35:AV35"/>
    <mergeCell ref="R1:S1"/>
    <mergeCell ref="G46:I46"/>
    <mergeCell ref="I20:K20"/>
  </mergeCells>
  <phoneticPr fontId="188" type="noConversion"/>
  <conditionalFormatting sqref="M29:R29 M30:N40 P30:R40 O30:O45 O48:O65">
    <cfRule type="expression" dxfId="1743" priority="4">
      <formula>$G29&amp;$H29&amp;$I40&amp;$J29&lt;&gt;""</formula>
    </cfRule>
  </conditionalFormatting>
  <conditionalFormatting sqref="R29:R45 R48:R65">
    <cfRule type="expression" dxfId="1742" priority="1">
      <formula>AND(COUNT(I29:$L29)=4,COUNT(I30:L30)=0)</formula>
    </cfRule>
  </conditionalFormatting>
  <conditionalFormatting sqref="M50:N65 P50:Q65">
    <cfRule type="expression" dxfId="1741" priority="6">
      <formula>$G50&amp;$H50&amp;#REF!&amp;$J50&lt;&gt;""</formula>
    </cfRule>
  </conditionalFormatting>
  <conditionalFormatting sqref="M41:N45 P41:R45 P48:R49 M48:N49">
    <cfRule type="expression" dxfId="1740" priority="10">
      <formula>$G41&amp;$H41&amp;$I58&amp;$J41&lt;&gt;""</formula>
    </cfRule>
  </conditionalFormatting>
  <hyperlinks>
    <hyperlink ref="G1" location="SOMMAIRE!A1" display="SOMMAIRE" xr:uid="{AE117521-C9EF-8547-A966-0E8C19E4D10C}"/>
    <hyperlink ref="R1" location="'Bilan EGALIZ'!A1" display="BILAN EGALIZ" xr:uid="{EC41DBF4-CF04-8248-98D0-EE3A581532CD}"/>
    <hyperlink ref="R1:S1" location="DIAGNOSTIC!A1" display="BILAN EGALIZ" xr:uid="{F62714BF-FC19-D94A-8606-1D9B29D3BE20}"/>
  </hyperlinks>
  <pageMargins left="0.78740157499999996" right="0.78740157499999996" top="0.984251969" bottom="0.984251969" header="0.5" footer="0.5"/>
  <pageSetup paperSize="9" orientation="landscape" horizontalDpi="4294967292" verticalDpi="4294967292"/>
  <headerFooter alignWithMargins="0"/>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Choisir dans le menu déroulant le choix souhaité et mettre à jour le tableau (clic droit, et « actualiser)" xr:uid="{D30742BF-090D-9D40-BD3E-ABFF649EE28B}">
          <x14:formula1>
            <xm:f>Paramètres!$AL$7:$AL$9</xm:f>
          </x14:formula1>
          <xm:sqref>I20:K20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5">
    <tabColor rgb="FFFF2F92"/>
  </sheetPr>
  <dimension ref="A1:AG79"/>
  <sheetViews>
    <sheetView showGridLines="0" zoomScale="90" zoomScaleNormal="90" workbookViewId="0">
      <selection activeCell="J1" sqref="J1"/>
    </sheetView>
  </sheetViews>
  <sheetFormatPr baseColWidth="10" defaultColWidth="10.83203125" defaultRowHeight="20"/>
  <cols>
    <col min="1" max="1" width="8" style="437" customWidth="1"/>
    <col min="2" max="2" width="10.83203125" style="438"/>
    <col min="3" max="3" width="29.83203125" style="438" customWidth="1"/>
    <col min="4" max="8" width="0.6640625" style="438" customWidth="1"/>
    <col min="9" max="9" width="3.1640625" style="438" customWidth="1"/>
    <col min="10" max="10" width="35" style="438" customWidth="1"/>
    <col min="11" max="11" width="17.1640625" style="438" customWidth="1"/>
    <col min="12" max="12" width="20.83203125" style="438" customWidth="1"/>
    <col min="13" max="13" width="17.5" style="438" customWidth="1"/>
    <col min="14" max="15" width="14" style="438" customWidth="1"/>
    <col min="16" max="16" width="11.1640625" style="438" customWidth="1"/>
    <col min="17" max="17" width="11" style="438" bestFit="1" customWidth="1"/>
    <col min="18" max="18" width="18" style="438" customWidth="1"/>
    <col min="19" max="19" width="14.1640625" style="438" customWidth="1"/>
    <col min="20" max="20" width="10.83203125" style="438"/>
    <col min="21" max="21" width="122" style="438" customWidth="1"/>
    <col min="22" max="16384" width="10.83203125" style="438"/>
  </cols>
  <sheetData>
    <row r="1" spans="1:21" s="437" customFormat="1" ht="63.75" customHeight="1">
      <c r="A1" s="436"/>
      <c r="J1" s="1165" t="s">
        <v>980</v>
      </c>
      <c r="S1" s="1286" t="s">
        <v>382</v>
      </c>
      <c r="T1" s="1286"/>
    </row>
    <row r="3" spans="1:21" s="440" customFormat="1">
      <c r="A3" s="437"/>
      <c r="B3" s="438"/>
      <c r="C3" s="439"/>
      <c r="D3" s="438"/>
      <c r="E3" s="438"/>
      <c r="F3" s="438"/>
      <c r="G3" s="438"/>
      <c r="H3" s="438"/>
      <c r="I3" s="438"/>
      <c r="J3" s="438"/>
    </row>
    <row r="4" spans="1:21" s="440" customFormat="1" ht="6" customHeight="1">
      <c r="A4" s="437"/>
      <c r="B4" s="438"/>
      <c r="C4" s="438"/>
      <c r="D4" s="438"/>
      <c r="E4" s="438"/>
      <c r="F4" s="438"/>
      <c r="G4" s="438"/>
      <c r="H4" s="438"/>
      <c r="I4" s="438"/>
      <c r="J4" s="438"/>
    </row>
    <row r="5" spans="1:21" s="440" customFormat="1">
      <c r="A5" s="437"/>
      <c r="B5" s="438"/>
      <c r="C5" s="1362"/>
      <c r="D5" s="1362"/>
      <c r="E5" s="438"/>
      <c r="F5" s="438"/>
      <c r="G5" s="438"/>
      <c r="H5" s="438"/>
      <c r="I5" s="438"/>
      <c r="J5" s="438"/>
    </row>
    <row r="6" spans="1:21" s="443" customFormat="1" ht="20" customHeight="1">
      <c r="A6" s="437"/>
      <c r="B6" s="441"/>
      <c r="C6" s="442"/>
      <c r="D6" s="441"/>
      <c r="E6" s="441"/>
      <c r="F6" s="441"/>
      <c r="G6" s="441"/>
      <c r="H6" s="441"/>
      <c r="I6" s="441"/>
      <c r="J6" s="441"/>
    </row>
    <row r="7" spans="1:21" ht="28">
      <c r="C7" s="232" t="s">
        <v>377</v>
      </c>
      <c r="U7" s="444"/>
    </row>
    <row r="8" spans="1:21" ht="65" customHeight="1"/>
    <row r="9" spans="1:21" ht="43" customHeight="1">
      <c r="C9" s="405" t="s">
        <v>351</v>
      </c>
      <c r="J9" s="445" t="s">
        <v>390</v>
      </c>
    </row>
    <row r="10" spans="1:21" s="440" customFormat="1" ht="29" customHeight="1">
      <c r="A10" s="437"/>
      <c r="B10" s="429"/>
      <c r="C10" s="193"/>
      <c r="D10" s="429"/>
      <c r="E10" s="429"/>
      <c r="F10" s="429"/>
      <c r="G10" s="429"/>
      <c r="H10" s="429"/>
      <c r="I10" s="429"/>
      <c r="J10" s="196" t="s">
        <v>546</v>
      </c>
      <c r="K10" s="438"/>
      <c r="R10" s="446"/>
      <c r="S10" s="446"/>
    </row>
    <row r="11" spans="1:21" ht="13" customHeight="1">
      <c r="C11" s="447"/>
      <c r="D11" s="447"/>
      <c r="E11" s="447"/>
      <c r="F11" s="447"/>
      <c r="G11" s="447"/>
      <c r="H11" s="447"/>
      <c r="I11" s="447"/>
      <c r="K11" s="448"/>
      <c r="L11" s="448"/>
      <c r="M11" s="448"/>
      <c r="N11" s="448"/>
      <c r="O11" s="448"/>
      <c r="P11" s="448"/>
      <c r="Q11" s="448"/>
      <c r="R11" s="448"/>
      <c r="S11" s="448"/>
    </row>
    <row r="12" spans="1:21" ht="21">
      <c r="C12" s="447"/>
      <c r="D12" s="447"/>
      <c r="E12" s="447"/>
      <c r="F12" s="447"/>
      <c r="G12" s="447"/>
      <c r="H12" s="447"/>
      <c r="I12" s="447"/>
      <c r="J12" s="449" t="s">
        <v>257</v>
      </c>
      <c r="K12" s="448"/>
      <c r="L12" s="448"/>
      <c r="M12" s="448"/>
      <c r="N12" s="448"/>
      <c r="O12" s="448"/>
      <c r="P12" s="448"/>
      <c r="Q12" s="448"/>
      <c r="R12" s="448"/>
      <c r="S12" s="448"/>
    </row>
    <row r="13" spans="1:21" ht="21">
      <c r="C13" s="582"/>
      <c r="D13" s="582"/>
      <c r="E13" s="582"/>
      <c r="F13" s="582"/>
      <c r="G13" s="582"/>
      <c r="H13" s="582"/>
      <c r="I13" s="582"/>
      <c r="J13" s="449" t="s">
        <v>285</v>
      </c>
      <c r="K13" s="448"/>
      <c r="L13" s="448"/>
      <c r="M13" s="448"/>
      <c r="N13" s="448"/>
      <c r="O13" s="448"/>
      <c r="P13" s="448"/>
      <c r="Q13" s="448"/>
      <c r="R13" s="448"/>
      <c r="S13" s="448"/>
    </row>
    <row r="14" spans="1:21">
      <c r="C14" s="582"/>
      <c r="D14" s="582"/>
      <c r="E14" s="582"/>
      <c r="F14" s="582"/>
      <c r="G14" s="582"/>
      <c r="H14" s="582"/>
      <c r="I14" s="582"/>
    </row>
    <row r="15" spans="1:21" ht="21">
      <c r="C15" s="582"/>
      <c r="D15" s="582"/>
      <c r="E15" s="582"/>
      <c r="F15" s="582"/>
      <c r="G15" s="582"/>
      <c r="H15" s="582"/>
      <c r="I15" s="582"/>
      <c r="J15" s="1370"/>
      <c r="K15" s="1368" t="s">
        <v>353</v>
      </c>
      <c r="L15" s="1368"/>
      <c r="M15" s="1369" t="s">
        <v>244</v>
      </c>
      <c r="N15" s="1370"/>
      <c r="O15" s="1369" t="s">
        <v>354</v>
      </c>
      <c r="P15" s="1370"/>
      <c r="Q15" s="1368" t="s">
        <v>287</v>
      </c>
      <c r="R15" s="1368" t="s">
        <v>355</v>
      </c>
      <c r="S15" s="1368" t="s">
        <v>356</v>
      </c>
    </row>
    <row r="16" spans="1:21" ht="22">
      <c r="C16" s="582"/>
      <c r="D16" s="582"/>
      <c r="E16" s="582"/>
      <c r="F16" s="582"/>
      <c r="G16" s="582"/>
      <c r="H16" s="582"/>
      <c r="I16" s="582"/>
      <c r="J16" s="1370"/>
      <c r="K16" s="450" t="s">
        <v>248</v>
      </c>
      <c r="L16" s="450" t="s">
        <v>249</v>
      </c>
      <c r="M16" s="450" t="s">
        <v>248</v>
      </c>
      <c r="N16" s="450" t="s">
        <v>249</v>
      </c>
      <c r="O16" s="450" t="s">
        <v>248</v>
      </c>
      <c r="P16" s="450" t="s">
        <v>249</v>
      </c>
      <c r="Q16" s="1368"/>
      <c r="R16" s="1368"/>
      <c r="S16" s="1368"/>
    </row>
    <row r="17" spans="3:21" ht="22">
      <c r="C17" s="582"/>
      <c r="D17" s="582"/>
      <c r="E17" s="582"/>
      <c r="F17" s="582"/>
      <c r="G17" s="582"/>
      <c r="H17" s="582"/>
      <c r="I17" s="582"/>
      <c r="J17" s="451" t="s">
        <v>253</v>
      </c>
      <c r="K17" s="452">
        <f>IFERROR(COUNTIFS(données[AUGMEN-TATION],"1",données[SEXE],"F",données[TYPE DE CONTRAT],"salarié"),0)</f>
        <v>59</v>
      </c>
      <c r="L17" s="452">
        <f>IFERROR(COUNTIFS(données[AUGMEN-TATION],"1",données[SEXE],"H",données[TYPE DE CONTRAT],"salarié"),0)</f>
        <v>84</v>
      </c>
      <c r="M17" s="453">
        <f>IFERROR(COUNTIFS(données[SEXE],"F",données[TYPE DE CONTRAT],"salarié"),0)</f>
        <v>120</v>
      </c>
      <c r="N17" s="453">
        <f>IFERROR(COUNTIFS(données[SEXE],"H",données[TYPE DE CONTRAT],"salarié"),0)</f>
        <v>200</v>
      </c>
      <c r="O17" s="454">
        <f>K17/M17</f>
        <v>0.49166666666666664</v>
      </c>
      <c r="P17" s="454">
        <f>L17/N17</f>
        <v>0.42</v>
      </c>
      <c r="Q17" s="454">
        <f>P17-O17</f>
        <v>-7.1666666666666656E-2</v>
      </c>
      <c r="R17" s="455">
        <f>IF(AND(0&lt;=K17,K17&lt;=M17,0&lt;=L17,L17&lt;=N17),ABS(O17-P17),"#VALEUR!")</f>
        <v>7.1666666666666656E-2</v>
      </c>
      <c r="S17" s="456">
        <f>R17*MIN(M17,N17)</f>
        <v>8.5999999999999979</v>
      </c>
    </row>
    <row r="18" spans="3:21" ht="21">
      <c r="C18" s="582"/>
      <c r="D18" s="582"/>
      <c r="E18" s="582"/>
      <c r="F18" s="582"/>
      <c r="G18" s="582"/>
      <c r="H18" s="582"/>
      <c r="I18" s="582"/>
      <c r="J18" s="457" t="s">
        <v>357</v>
      </c>
      <c r="K18" s="457"/>
      <c r="L18" s="457"/>
      <c r="M18" s="457"/>
      <c r="N18" s="457"/>
      <c r="O18" s="457"/>
      <c r="P18" s="457"/>
      <c r="Q18" s="457"/>
      <c r="R18" s="458" t="str">
        <f>IF(R17="#VALEUR!","Incohérence dans les nombres de salariés saisis."," ")</f>
        <v xml:space="preserve"> </v>
      </c>
      <c r="S18" s="457"/>
    </row>
    <row r="19" spans="3:21" ht="21">
      <c r="C19" s="582"/>
      <c r="D19" s="582"/>
      <c r="E19" s="582"/>
      <c r="F19" s="582"/>
      <c r="G19" s="582"/>
      <c r="H19" s="582"/>
      <c r="I19" s="582"/>
      <c r="J19" s="459" t="s">
        <v>358</v>
      </c>
      <c r="K19" s="460"/>
      <c r="L19" s="460"/>
      <c r="M19" s="461"/>
      <c r="N19" s="461"/>
      <c r="O19" s="461"/>
      <c r="P19" s="461"/>
      <c r="Q19" s="461"/>
      <c r="R19" s="462"/>
      <c r="S19" s="462"/>
    </row>
    <row r="20" spans="3:21" ht="21">
      <c r="C20" s="582"/>
      <c r="D20" s="582"/>
      <c r="E20" s="582"/>
      <c r="F20" s="582"/>
      <c r="G20" s="582"/>
      <c r="H20" s="582"/>
      <c r="I20" s="582"/>
      <c r="J20" s="459" t="s">
        <v>359</v>
      </c>
      <c r="K20" s="460"/>
      <c r="L20" s="460"/>
      <c r="M20" s="461"/>
      <c r="N20" s="461"/>
      <c r="O20" s="461"/>
      <c r="P20" s="461"/>
      <c r="Q20" s="461"/>
      <c r="R20" s="462"/>
      <c r="S20" s="462"/>
    </row>
    <row r="21" spans="3:21">
      <c r="C21" s="582"/>
      <c r="D21" s="582"/>
      <c r="E21" s="582"/>
      <c r="F21" s="582"/>
      <c r="G21" s="582"/>
      <c r="H21" s="582"/>
      <c r="I21" s="582"/>
    </row>
    <row r="22" spans="3:21" ht="21">
      <c r="C22" s="582"/>
      <c r="D22" s="582"/>
      <c r="E22" s="582"/>
      <c r="F22" s="582"/>
      <c r="G22" s="582"/>
      <c r="H22" s="582"/>
      <c r="I22" s="582"/>
      <c r="J22" s="449" t="s">
        <v>254</v>
      </c>
      <c r="M22" s="463">
        <f>IF(AND(ISBLANK(K17),ISBLANK(L17)),"#N/A",IF(AND(M17&gt;=5,N17&gt;=5,K17+L17&gt;0),1,0))</f>
        <v>1</v>
      </c>
      <c r="N22" s="181" t="str">
        <f>IF(M22=1,"Il y a eu des augmentations et les effectifs comportent au moins 5 femmes et 5 hommes.",IF(OR(M17&lt;5,N17&lt;5),"Les effectifs comprennent moins de 5 femmes ou moins de 5 hommes.",IF(AND(ISBLANK(K17),ISBLANK(L17))," ","Il n'y a pas eu d'augmentations dans l'entreprise.")))</f>
        <v>Il y a eu des augmentations et les effectifs comportent au moins 5 femmes et 5 hommes.</v>
      </c>
      <c r="O22" s="464"/>
      <c r="P22" s="464"/>
      <c r="Q22" s="464"/>
    </row>
    <row r="23" spans="3:21" ht="21">
      <c r="C23" s="582"/>
      <c r="D23" s="582"/>
      <c r="E23" s="582"/>
      <c r="F23" s="582"/>
      <c r="G23" s="582"/>
      <c r="H23" s="582"/>
      <c r="I23" s="582"/>
      <c r="J23" s="449" t="s">
        <v>360</v>
      </c>
      <c r="M23" s="465">
        <f>IF(M22=1,ABS(ROUND(100*R17,1)),IF(M22=0,"INCALCULABLE","#N/A"))</f>
        <v>7.2</v>
      </c>
      <c r="N23" s="181" t="str">
        <f>IF(AND(Q17&gt;=0.05%,M22=1),"Un écart de taux d'augmentation est constaté en faveur des hommes.",IF(AND(Q17&lt;=-0.05%,M22=1),"Un écart de taux d'augmentation est constaté en faveur des femmes."," "))</f>
        <v>Un écart de taux d'augmentation est constaté en faveur des femmes.</v>
      </c>
      <c r="O23" s="464"/>
      <c r="P23" s="464"/>
      <c r="Q23" s="464"/>
    </row>
    <row r="24" spans="3:21" ht="21">
      <c r="C24" s="582"/>
      <c r="D24" s="582"/>
      <c r="E24" s="582"/>
      <c r="F24" s="582"/>
      <c r="G24" s="582"/>
      <c r="H24" s="582"/>
      <c r="I24" s="582"/>
      <c r="J24" s="449" t="s">
        <v>361</v>
      </c>
      <c r="M24" s="465">
        <f>IF(M22=1,ABS(ROUND(S17,1)),IF(M22=0,"INCALCULABLE","#N/A"))</f>
        <v>8.6</v>
      </c>
      <c r="N24" s="1371"/>
      <c r="O24" s="1371"/>
      <c r="P24" s="1371"/>
      <c r="Q24" s="1371"/>
      <c r="R24" s="1371"/>
      <c r="S24" s="1371"/>
    </row>
    <row r="25" spans="3:21" ht="21">
      <c r="C25" s="582"/>
      <c r="D25" s="582"/>
      <c r="E25" s="582"/>
      <c r="F25" s="582"/>
      <c r="G25" s="582"/>
      <c r="H25" s="582"/>
      <c r="I25" s="582"/>
      <c r="J25" s="449"/>
      <c r="M25" s="466"/>
      <c r="N25" s="1371"/>
      <c r="O25" s="1371"/>
      <c r="P25" s="1371"/>
      <c r="Q25" s="1371"/>
      <c r="R25" s="1371"/>
      <c r="S25" s="1371"/>
    </row>
    <row r="26" spans="3:21" ht="21">
      <c r="C26" s="582"/>
      <c r="D26" s="582"/>
      <c r="E26" s="582"/>
      <c r="F26" s="582"/>
      <c r="G26" s="582"/>
      <c r="H26" s="582"/>
      <c r="I26" s="582"/>
      <c r="J26" s="449" t="s">
        <v>362</v>
      </c>
      <c r="M26" s="467">
        <f>IF('INDIC. 1 Ecart Rémunération'!N22=1,IF(AND('INDIC. 1 Ecart Rémunération'!N23&lt;MAX('Note INDEX'!D40:D61), SIGN(Q16)=-SIGN(resuindic1)),MAX('Note INDEX'!G40:G43),VLOOKUP(M23,'Note INDEX'!F40:G43,2)),VLOOKUP(M23,'Note INDEX'!F40:G43,2))</f>
        <v>15</v>
      </c>
      <c r="N26" s="181"/>
      <c r="O26" s="464"/>
      <c r="P26" s="464"/>
      <c r="Q26" s="464"/>
    </row>
    <row r="27" spans="3:21" ht="21">
      <c r="C27" s="447"/>
      <c r="D27" s="447"/>
      <c r="E27" s="447"/>
      <c r="F27" s="447"/>
      <c r="G27" s="447"/>
      <c r="H27" s="447"/>
      <c r="I27" s="447"/>
      <c r="J27" s="449" t="s">
        <v>363</v>
      </c>
      <c r="M27" s="467">
        <f>IF('INDIC. 1 Ecart Rémunération'!N22=1,IF(AND('INDIC. 1 Ecart Rémunération'!N24&lt;MAX('Note INDEX'!D41:D62), SIGN(Q17)=-SIGN(resuindic1)),MAX('Note INDEX'!G41:G44),VLOOKUP(M24,'Note INDEX'!F41:G44,2)),VLOOKUP(M24,'Note INDEX'!F41:G44,2))</f>
        <v>35</v>
      </c>
      <c r="N27" s="181"/>
      <c r="O27" s="464"/>
      <c r="P27" s="464"/>
      <c r="Q27" s="464"/>
    </row>
    <row r="28" spans="3:21" ht="21">
      <c r="C28" s="447"/>
      <c r="D28" s="447"/>
      <c r="E28" s="447"/>
      <c r="F28" s="447"/>
      <c r="G28" s="447"/>
      <c r="H28" s="447"/>
      <c r="I28" s="447"/>
      <c r="J28" s="449" t="s">
        <v>364</v>
      </c>
      <c r="M28" s="468">
        <f>MAX(M26,M27)</f>
        <v>35</v>
      </c>
      <c r="N28" s="181" t="s">
        <v>531</v>
      </c>
      <c r="O28" s="464"/>
      <c r="P28" s="464"/>
      <c r="Q28" s="464"/>
    </row>
    <row r="29" spans="3:21" ht="43" customHeight="1">
      <c r="C29" s="405" t="s">
        <v>374</v>
      </c>
    </row>
    <row r="30" spans="3:21" ht="21">
      <c r="J30" s="196" t="s">
        <v>547</v>
      </c>
      <c r="K30" s="448"/>
      <c r="L30" s="448"/>
      <c r="M30" s="448"/>
      <c r="N30" s="448"/>
      <c r="O30" s="448"/>
      <c r="P30" s="448"/>
      <c r="Q30" s="448"/>
      <c r="R30" s="448"/>
      <c r="S30" s="448"/>
      <c r="T30" s="448"/>
      <c r="U30" s="448"/>
    </row>
    <row r="31" spans="3:21" ht="21">
      <c r="J31" s="449" t="s">
        <v>257</v>
      </c>
      <c r="K31" s="448"/>
      <c r="L31" s="448"/>
      <c r="M31" s="448"/>
      <c r="N31" s="448"/>
      <c r="O31" s="448"/>
      <c r="P31" s="448"/>
      <c r="Q31" s="448"/>
      <c r="R31" s="448"/>
      <c r="S31" s="448"/>
      <c r="T31" s="448"/>
      <c r="U31" s="448"/>
    </row>
    <row r="32" spans="3:21" ht="21">
      <c r="J32" s="449" t="s">
        <v>285</v>
      </c>
      <c r="K32" s="448"/>
      <c r="L32" s="448"/>
      <c r="M32" s="448"/>
      <c r="N32" s="448"/>
      <c r="O32" s="448"/>
      <c r="P32" s="448"/>
      <c r="Q32" s="448"/>
      <c r="R32" s="448"/>
      <c r="S32" s="448"/>
      <c r="T32" s="448"/>
      <c r="U32" s="448"/>
    </row>
    <row r="33" spans="3:21" ht="21">
      <c r="J33" s="449"/>
      <c r="K33" s="448"/>
      <c r="L33" s="448"/>
      <c r="M33" s="448"/>
      <c r="N33" s="448"/>
      <c r="O33" s="448"/>
      <c r="P33" s="448"/>
      <c r="Q33" s="448"/>
      <c r="S33" s="448"/>
      <c r="T33" s="448"/>
      <c r="U33" s="448"/>
    </row>
    <row r="34" spans="3:21">
      <c r="J34" s="1186" t="s">
        <v>991</v>
      </c>
      <c r="K34" s="1187"/>
      <c r="L34" s="1372" t="str">
        <f>'INDIC. 1 Ecart Rémunération'!I20</f>
        <v>Nouvelle cotation propre</v>
      </c>
      <c r="M34" s="1373"/>
      <c r="N34" s="1373"/>
      <c r="O34" s="428" t="s">
        <v>951</v>
      </c>
    </row>
    <row r="35" spans="3:21" ht="21">
      <c r="J35" s="449"/>
      <c r="K35" s="448"/>
      <c r="L35" s="448"/>
      <c r="M35" s="448"/>
      <c r="N35" s="448"/>
      <c r="O35" s="448"/>
      <c r="P35" s="448"/>
      <c r="Q35" s="448"/>
      <c r="R35" s="448"/>
      <c r="S35" s="448"/>
      <c r="T35" s="448"/>
      <c r="U35" s="448"/>
    </row>
    <row r="36" spans="3:21">
      <c r="C36" s="447"/>
      <c r="D36" s="447"/>
      <c r="E36" s="447"/>
      <c r="F36" s="447"/>
      <c r="G36" s="447"/>
      <c r="H36" s="447"/>
      <c r="I36" s="447"/>
    </row>
    <row r="37" spans="3:21" ht="21">
      <c r="C37"/>
      <c r="D37"/>
      <c r="E37"/>
      <c r="F37"/>
      <c r="G37"/>
      <c r="H37"/>
      <c r="I37"/>
      <c r="J37" s="1370" t="s">
        <v>241</v>
      </c>
      <c r="K37" s="1368" t="s">
        <v>286</v>
      </c>
      <c r="L37" s="1368"/>
      <c r="M37" s="1368" t="s">
        <v>287</v>
      </c>
      <c r="N37" s="1369" t="s">
        <v>244</v>
      </c>
      <c r="O37" s="1370"/>
      <c r="P37" s="1368" t="s">
        <v>245</v>
      </c>
      <c r="Q37" s="1368" t="s">
        <v>288</v>
      </c>
      <c r="R37" s="1368" t="s">
        <v>247</v>
      </c>
    </row>
    <row r="38" spans="3:21" ht="22">
      <c r="C38"/>
      <c r="D38"/>
      <c r="E38"/>
      <c r="F38"/>
      <c r="G38"/>
      <c r="H38"/>
      <c r="I38"/>
      <c r="J38" s="1370"/>
      <c r="K38" s="450" t="s">
        <v>248</v>
      </c>
      <c r="L38" s="450" t="s">
        <v>249</v>
      </c>
      <c r="M38" s="1368"/>
      <c r="N38" s="450" t="s">
        <v>248</v>
      </c>
      <c r="O38" s="450" t="s">
        <v>249</v>
      </c>
      <c r="P38" s="1368"/>
      <c r="Q38" s="1368"/>
      <c r="R38" s="1368"/>
    </row>
    <row r="39" spans="3:21" ht="22">
      <c r="C39"/>
      <c r="D39"/>
      <c r="E39"/>
      <c r="F39"/>
      <c r="G39"/>
      <c r="H39"/>
      <c r="I39"/>
      <c r="J39" s="669" t="str">
        <f>IF($L$34="C.S.P.",Paramètres!E38,IF($L$34="Nouvelle cotation propre",Paramètres!I38,IF($L$34="coeficient de branche",Paramètres!G38,"")))</f>
        <v>catégorie 1</v>
      </c>
      <c r="K39" s="682">
        <f>IF(OR(J39=0,ISBLANK(J39)),"",IFERROR(COUNTIFS(données[Croisement],J39,données[AUGMEN-TATION],"1",données[SEXE],"F",données[TYPE DE CONTRAT],"salarié")/COUNTIFS(données[Croisement],J39,données[SEXE],"F",données[TYPE DE CONTRAT],"salarié"),0))</f>
        <v>0.52</v>
      </c>
      <c r="L39" s="682">
        <f>IF(OR(J39=0,ISBLANK(J39)),"",IFERROR(COUNTIFS(données[Croisement],J39,données[AUGMEN-TATION],"1",données[SEXE],"H",données[TYPE DE CONTRAT],"salarié")/COUNTIFS(données[Croisement],J39,données[SEXE],"H",données[TYPE DE CONTRAT],"salarié"),0))</f>
        <v>0.42962962962962964</v>
      </c>
      <c r="M39" s="683">
        <f>IF(ISNUMBER(J39),"",IF(AND(L39&gt;=0,K39&gt;=0),L39-K39," "))</f>
        <v>-9.0370370370370379E-2</v>
      </c>
      <c r="N39" s="1185">
        <f>IF(J39=0,"",IFERROR(COUNTIFS(données[Croisement],'INDIC.2 Ecart Tx Augmentation'!J39,données[TYPE DE CONTRAT],"salarié",données[SEXE],"F"),0))</f>
        <v>75</v>
      </c>
      <c r="O39" s="1185">
        <f>IF(J39=0,"",IFERROR(COUNTIFS(données[Croisement],'INDIC.2 Ecart Tx Augmentation'!J39,données[TYPE DE CONTRAT],"salarié",données[SEXE],"H"),0))</f>
        <v>135</v>
      </c>
      <c r="P39" s="684">
        <f>IF(ISNUMBER(J39),"",IF(AND(N39&gt;=10,O39&gt;=10),1,0))</f>
        <v>1</v>
      </c>
      <c r="Q39" s="684">
        <f>IF(ISNUMBER(J39),"",P39*SUM(N39:O39))</f>
        <v>210</v>
      </c>
      <c r="R39" s="685">
        <f>IF(ISNUMBER(J39),"",IF(P39=1,M39*Q39/$Q$52,0))</f>
        <v>-5.9305555555555556E-2</v>
      </c>
      <c r="U39" s="1042"/>
    </row>
    <row r="40" spans="3:21" ht="22">
      <c r="C40"/>
      <c r="D40"/>
      <c r="E40"/>
      <c r="F40"/>
      <c r="G40"/>
      <c r="H40"/>
      <c r="I40"/>
      <c r="J40" s="669" t="str">
        <f>IF($L$34="C.S.P.",Paramètres!E39,IF($L$34="Nouvelle cotation propre",Paramètres!I39,IF($L$34="coeficient de branche",Paramètres!G39,"")))</f>
        <v>catégorie 2</v>
      </c>
      <c r="K40" s="682">
        <f>IF(OR(J40=0,ISBLANK(J40)),"",IFERROR(COUNTIFS(données[Croisement],J40,données[AUGMEN-TATION],"1",données[SEXE],"F",données[TYPE DE CONTRAT],"salarié")/COUNTIFS(données[Croisement],J40,données[SEXE],"F",données[TYPE DE CONTRAT],"salarié"),0))</f>
        <v>0.37037037037037035</v>
      </c>
      <c r="L40" s="682">
        <f>IF(OR(J40=0,ISBLANK(J40)),"",IFERROR(COUNTIFS(données[Croisement],J40,données[AUGMEN-TATION],"1",données[SEXE],"H",données[TYPE DE CONTRAT],"salarié")/COUNTIFS(données[Croisement],J40,données[SEXE],"H",données[TYPE DE CONTRAT],"salarié"),0))</f>
        <v>0.42857142857142855</v>
      </c>
      <c r="M40" s="683">
        <f t="shared" ref="M40:M51" si="0">IF(ISNUMBER(J40),"",IF(AND(L40&gt;=0,K40&gt;=0),L40-K40," "))</f>
        <v>5.8201058201058198E-2</v>
      </c>
      <c r="N40" s="1185">
        <f>IF(J40=0,"",IFERROR(COUNTIFS(données[Croisement],'INDIC.2 Ecart Tx Augmentation'!J40,données[TYPE DE CONTRAT],"salarié",données[SEXE],"F"),0))</f>
        <v>27</v>
      </c>
      <c r="O40" s="1185">
        <f>IF(J40=0,"",IFERROR(COUNTIFS(données[Croisement],'INDIC.2 Ecart Tx Augmentation'!J40,données[TYPE DE CONTRAT],"salarié",données[SEXE],"H"),0))</f>
        <v>35</v>
      </c>
      <c r="P40" s="684">
        <f t="shared" ref="P40:P51" si="1">IF(ISNUMBER(J40),"",IF(AND(N40&gt;=10,O40&gt;=10),1,0))</f>
        <v>1</v>
      </c>
      <c r="Q40" s="684">
        <f t="shared" ref="Q40:Q51" si="2">IF(ISNUMBER(J40),"",P40*SUM(N40:O40))</f>
        <v>62</v>
      </c>
      <c r="R40" s="685">
        <f t="shared" ref="R40:R51" si="3">IF(ISNUMBER(J40),"",IF(P40=1,M40*Q40/$Q$52,0))</f>
        <v>1.1276455026455027E-2</v>
      </c>
      <c r="U40" s="1042"/>
    </row>
    <row r="41" spans="3:21" ht="22">
      <c r="C41"/>
      <c r="D41"/>
      <c r="E41"/>
      <c r="F41"/>
      <c r="G41"/>
      <c r="H41"/>
      <c r="I41"/>
      <c r="J41" s="669" t="str">
        <f>IF($L$34="C.S.P.",Paramètres!E40,IF($L$34="Nouvelle cotation propre",Paramètres!I40,IF($L$34="coeficient de branche",Paramètres!G40,"")))</f>
        <v>catégorie 3</v>
      </c>
      <c r="K41" s="682">
        <f>IF(OR(J41=0,ISBLANK(J41)),"",IFERROR(COUNTIFS(données[Croisement],J41,données[AUGMEN-TATION],"1",données[SEXE],"F",données[TYPE DE CONTRAT],"salarié")/COUNTIFS(données[Croisement],J41,données[SEXE],"F",données[TYPE DE CONTRAT],"salarié"),0))</f>
        <v>0.55555555555555558</v>
      </c>
      <c r="L41" s="682">
        <f>IF(OR(J41=0,ISBLANK(J41)),"",IFERROR(COUNTIFS(données[Croisement],J41,données[AUGMEN-TATION],"1",données[SEXE],"H",données[TYPE DE CONTRAT],"salarié")/COUNTIFS(données[Croisement],J41,données[SEXE],"H",données[TYPE DE CONTRAT],"salarié"),0))</f>
        <v>0.36666666666666664</v>
      </c>
      <c r="M41" s="683">
        <f t="shared" si="0"/>
        <v>-0.18888888888888894</v>
      </c>
      <c r="N41" s="1185">
        <f>IF(J41=0,"",IFERROR(COUNTIFS(données[Croisement],'INDIC.2 Ecart Tx Augmentation'!J41,données[TYPE DE CONTRAT],"salarié",données[SEXE],"F"),0))</f>
        <v>18</v>
      </c>
      <c r="O41" s="1185">
        <f>IF(J41=0,"",IFERROR(COUNTIFS(données[Croisement],'INDIC.2 Ecart Tx Augmentation'!J41,données[TYPE DE CONTRAT],"salarié",données[SEXE],"H"),0))</f>
        <v>30</v>
      </c>
      <c r="P41" s="684">
        <f t="shared" si="1"/>
        <v>1</v>
      </c>
      <c r="Q41" s="684">
        <f t="shared" si="2"/>
        <v>48</v>
      </c>
      <c r="R41" s="685">
        <f t="shared" si="3"/>
        <v>-2.8333333333333342E-2</v>
      </c>
      <c r="U41" s="1042"/>
    </row>
    <row r="42" spans="3:21" ht="21">
      <c r="C42"/>
      <c r="D42"/>
      <c r="E42"/>
      <c r="F42"/>
      <c r="G42"/>
      <c r="H42"/>
      <c r="I42"/>
      <c r="J42" s="669">
        <f>IF($L$34="C.S.P.",Paramètres!E41,IF($L$34="Nouvelle cotation propre",Paramètres!I41,IF($L$34="coeficient de branche",Paramètres!G41,"")))</f>
        <v>0</v>
      </c>
      <c r="K42" s="682" t="str">
        <f>IF(OR(J42=0,ISBLANK(J42)),"",IFERROR(COUNTIFS(données[Croisement],J42,données[AUGMEN-TATION],"1",données[SEXE],"F",données[TYPE DE CONTRAT],"salarié")/COUNTIFS(données[Croisement],J42,données[SEXE],"F",données[TYPE DE CONTRAT],"salarié"),0))</f>
        <v/>
      </c>
      <c r="L42" s="682" t="str">
        <f>IF(OR(J42=0,ISBLANK(J42)),"",IFERROR(COUNTIFS(données[Croisement],J42,données[AUGMEN-TATION],"1",données[SEXE],"H",données[TYPE DE CONTRAT],"salarié")/COUNTIFS(données[Croisement],J42,données[SEXE],"H",données[TYPE DE CONTRAT],"salarié"),0))</f>
        <v/>
      </c>
      <c r="M42" s="683" t="str">
        <f t="shared" si="0"/>
        <v/>
      </c>
      <c r="N42" s="1185" t="str">
        <f>IF(J42=0,"",IFERROR(COUNTIFS(données[Croisement],'INDIC.2 Ecart Tx Augmentation'!J42,données[TYPE DE CONTRAT],"salarié",données[SEXE],"F"),0))</f>
        <v/>
      </c>
      <c r="O42" s="1185" t="str">
        <f>IF(J42=0,"",IFERROR(COUNTIFS(données[Croisement],'INDIC.2 Ecart Tx Augmentation'!J42,données[TYPE DE CONTRAT],"salarié",données[SEXE],"H"),0))</f>
        <v/>
      </c>
      <c r="P42" s="684" t="str">
        <f t="shared" si="1"/>
        <v/>
      </c>
      <c r="Q42" s="684" t="str">
        <f t="shared" si="2"/>
        <v/>
      </c>
      <c r="R42" s="685" t="str">
        <f t="shared" si="3"/>
        <v/>
      </c>
      <c r="U42" s="1042"/>
    </row>
    <row r="43" spans="3:21" ht="21">
      <c r="C43"/>
      <c r="D43"/>
      <c r="E43"/>
      <c r="F43"/>
      <c r="G43"/>
      <c r="H43"/>
      <c r="I43"/>
      <c r="J43" s="669">
        <f>IF($L$34="C.S.P.",Paramètres!E42,IF($L$34="Nouvelle cotation propre",Paramètres!I42,IF($L$34="coeficient de branche",Paramètres!G42,"")))</f>
        <v>0</v>
      </c>
      <c r="K43" s="682" t="str">
        <f>IF(OR(J43=0,ISBLANK(J43)),"",IFERROR(COUNTIFS(données[Croisement],J43,données[AUGMEN-TATION],"1",données[SEXE],"F",données[TYPE DE CONTRAT],"salarié")/COUNTIFS(données[Croisement],J43,données[SEXE],"F",données[TYPE DE CONTRAT],"salarié"),0))</f>
        <v/>
      </c>
      <c r="L43" s="682" t="str">
        <f>IF(OR(J43=0,ISBLANK(J43)),"",IFERROR(COUNTIFS(données[Croisement],J43,données[AUGMEN-TATION],"1",données[SEXE],"H",données[TYPE DE CONTRAT],"salarié")/COUNTIFS(données[Croisement],J43,données[SEXE],"H",données[TYPE DE CONTRAT],"salarié"),0))</f>
        <v/>
      </c>
      <c r="M43" s="683" t="str">
        <f t="shared" si="0"/>
        <v/>
      </c>
      <c r="N43" s="1185" t="str">
        <f>IF(J43=0,"",IFERROR(COUNTIFS(données[Croisement],'INDIC.2 Ecart Tx Augmentation'!J43,données[TYPE DE CONTRAT],"salarié",données[SEXE],"F"),0))</f>
        <v/>
      </c>
      <c r="O43" s="1185" t="str">
        <f>IF(J43=0,"",IFERROR(COUNTIFS(données[Croisement],'INDIC.2 Ecart Tx Augmentation'!J43,données[TYPE DE CONTRAT],"salarié",données[SEXE],"H"),0))</f>
        <v/>
      </c>
      <c r="P43" s="684" t="str">
        <f t="shared" si="1"/>
        <v/>
      </c>
      <c r="Q43" s="684" t="str">
        <f t="shared" si="2"/>
        <v/>
      </c>
      <c r="R43" s="685" t="str">
        <f t="shared" si="3"/>
        <v/>
      </c>
      <c r="U43" s="1042"/>
    </row>
    <row r="44" spans="3:21" ht="21">
      <c r="C44"/>
      <c r="D44"/>
      <c r="E44"/>
      <c r="F44"/>
      <c r="G44"/>
      <c r="H44"/>
      <c r="I44"/>
      <c r="J44" s="669">
        <f>IF($L$34="C.S.P.",Paramètres!E43,IF($L$34="Nouvelle cotation propre",Paramètres!I43,IF($L$34="coeficient de branche",Paramètres!G43,"")))</f>
        <v>0</v>
      </c>
      <c r="K44" s="682" t="str">
        <f>IF(OR(J44=0,ISBLANK(J44)),"",IFERROR(COUNTIFS(données[Croisement],J44,données[AUGMEN-TATION],"1",données[SEXE],"F",données[TYPE DE CONTRAT],"salarié")/COUNTIFS(données[Croisement],J44,données[SEXE],"F",données[TYPE DE CONTRAT],"salarié"),0))</f>
        <v/>
      </c>
      <c r="L44" s="682" t="str">
        <f>IF(OR(J44=0,ISBLANK(J44)),"",IFERROR(COUNTIFS(données[Croisement],J44,données[AUGMEN-TATION],"1",données[SEXE],"H",données[TYPE DE CONTRAT],"salarié")/COUNTIFS(données[Croisement],J44,données[SEXE],"H",données[TYPE DE CONTRAT],"salarié"),0))</f>
        <v/>
      </c>
      <c r="M44" s="683" t="str">
        <f t="shared" si="0"/>
        <v/>
      </c>
      <c r="N44" s="1185" t="str">
        <f>IF(J44=0,"",IFERROR(COUNTIFS(données[Croisement],'INDIC.2 Ecart Tx Augmentation'!J44,données[TYPE DE CONTRAT],"salarié",données[SEXE],"F"),0))</f>
        <v/>
      </c>
      <c r="O44" s="1185" t="str">
        <f>IF(J44=0,"",IFERROR(COUNTIFS(données[Croisement],'INDIC.2 Ecart Tx Augmentation'!J44,données[TYPE DE CONTRAT],"salarié",données[SEXE],"H"),0))</f>
        <v/>
      </c>
      <c r="P44" s="684" t="str">
        <f t="shared" si="1"/>
        <v/>
      </c>
      <c r="Q44" s="684" t="str">
        <f t="shared" si="2"/>
        <v/>
      </c>
      <c r="R44" s="685" t="str">
        <f t="shared" si="3"/>
        <v/>
      </c>
      <c r="U44" s="1042"/>
    </row>
    <row r="45" spans="3:21" ht="21">
      <c r="C45"/>
      <c r="D45"/>
      <c r="E45"/>
      <c r="F45"/>
      <c r="G45"/>
      <c r="H45"/>
      <c r="I45"/>
      <c r="J45" s="669">
        <f>IF($L$34="C.S.P.",Paramètres!E44,IF($L$34="Nouvelle cotation propre",Paramètres!I44,IF($L$34="coeficient de branche",Paramètres!G44,"")))</f>
        <v>0</v>
      </c>
      <c r="K45" s="682" t="str">
        <f>IF(OR(J45=0,ISBLANK(J45)),"",IFERROR(COUNTIFS(données[Croisement],J45,données[AUGMEN-TATION],"1",données[SEXE],"F",données[TYPE DE CONTRAT],"salarié")/COUNTIFS(données[Croisement],J45,données[SEXE],"F",données[TYPE DE CONTRAT],"salarié"),0))</f>
        <v/>
      </c>
      <c r="L45" s="682" t="str">
        <f>IF(OR(J45=0,ISBLANK(J45)),"",IFERROR(COUNTIFS(données[Croisement],J45,données[AUGMEN-TATION],"1",données[SEXE],"H",données[TYPE DE CONTRAT],"salarié")/COUNTIFS(données[Croisement],J45,données[SEXE],"H",données[TYPE DE CONTRAT],"salarié"),0))</f>
        <v/>
      </c>
      <c r="M45" s="683" t="str">
        <f t="shared" si="0"/>
        <v/>
      </c>
      <c r="N45" s="1185" t="str">
        <f>IF(J45=0,"",IFERROR(COUNTIFS(données[Croisement],'INDIC.2 Ecart Tx Augmentation'!J45,données[TYPE DE CONTRAT],"salarié",données[SEXE],"F"),0))</f>
        <v/>
      </c>
      <c r="O45" s="1185" t="str">
        <f>IF(J45=0,"",IFERROR(COUNTIFS(données[Croisement],'INDIC.2 Ecart Tx Augmentation'!J45,données[TYPE DE CONTRAT],"salarié",données[SEXE],"H"),0))</f>
        <v/>
      </c>
      <c r="P45" s="684" t="str">
        <f t="shared" si="1"/>
        <v/>
      </c>
      <c r="Q45" s="684" t="str">
        <f t="shared" si="2"/>
        <v/>
      </c>
      <c r="R45" s="685" t="str">
        <f t="shared" si="3"/>
        <v/>
      </c>
      <c r="U45" s="1042"/>
    </row>
    <row r="46" spans="3:21" ht="21">
      <c r="C46"/>
      <c r="D46"/>
      <c r="E46"/>
      <c r="F46"/>
      <c r="G46"/>
      <c r="H46"/>
      <c r="I46"/>
      <c r="J46" s="669">
        <f>IF($L$34="C.S.P.",Paramètres!E45,IF($L$34="Nouvelle cotation propre",Paramètres!I45,IF($L$34="coeficient de branche",Paramètres!G45,"")))</f>
        <v>0</v>
      </c>
      <c r="K46" s="682" t="str">
        <f>IF(OR(J46=0,ISBLANK(J46)),"",IFERROR(COUNTIFS(données[Croisement],J46,données[AUGMEN-TATION],"1",données[SEXE],"F",données[TYPE DE CONTRAT],"salarié")/COUNTIFS(données[Croisement],J46,données[SEXE],"F",données[TYPE DE CONTRAT],"salarié"),0))</f>
        <v/>
      </c>
      <c r="L46" s="682" t="str">
        <f>IF(OR(J46=0,ISBLANK(J46)),"",IFERROR(COUNTIFS(données[Croisement],J46,données[AUGMEN-TATION],"1",données[SEXE],"H",données[TYPE DE CONTRAT],"salarié")/COUNTIFS(données[Croisement],J46,données[SEXE],"H",données[TYPE DE CONTRAT],"salarié"),0))</f>
        <v/>
      </c>
      <c r="M46" s="683" t="str">
        <f t="shared" si="0"/>
        <v/>
      </c>
      <c r="N46" s="1185" t="str">
        <f>IF(J46=0,"",IFERROR(COUNTIFS(données[Croisement],'INDIC.2 Ecart Tx Augmentation'!J46,données[TYPE DE CONTRAT],"salarié",données[SEXE],"F"),0))</f>
        <v/>
      </c>
      <c r="O46" s="1185" t="str">
        <f>IF(J46=0,"",IFERROR(COUNTIFS(données[Croisement],'INDIC.2 Ecart Tx Augmentation'!J46,données[TYPE DE CONTRAT],"salarié",données[SEXE],"H"),0))</f>
        <v/>
      </c>
      <c r="P46" s="684" t="str">
        <f t="shared" si="1"/>
        <v/>
      </c>
      <c r="Q46" s="684" t="str">
        <f t="shared" si="2"/>
        <v/>
      </c>
      <c r="R46" s="685" t="str">
        <f t="shared" si="3"/>
        <v/>
      </c>
      <c r="U46" s="1042"/>
    </row>
    <row r="47" spans="3:21" ht="21">
      <c r="C47"/>
      <c r="D47"/>
      <c r="E47"/>
      <c r="F47"/>
      <c r="G47"/>
      <c r="H47"/>
      <c r="I47"/>
      <c r="J47" s="669">
        <f>IF($L$34="C.S.P.",Paramètres!E46,IF($L$34="Nouvelle cotation propre",Paramètres!I46,IF($L$34="coeficient de branche",Paramètres!G46,"")))</f>
        <v>0</v>
      </c>
      <c r="K47" s="682" t="str">
        <f>IF(OR(J47=0,ISBLANK(J47)),"",IFERROR(COUNTIFS(données[Croisement],J47,données[AUGMEN-TATION],"1",données[SEXE],"F",données[TYPE DE CONTRAT],"salarié")/COUNTIFS(données[Croisement],J47,données[SEXE],"F",données[TYPE DE CONTRAT],"salarié"),0))</f>
        <v/>
      </c>
      <c r="L47" s="682" t="str">
        <f>IF(OR(J47=0,ISBLANK(J47)),"",IFERROR(COUNTIFS(données[Croisement],J47,données[AUGMEN-TATION],"1",données[SEXE],"H",données[TYPE DE CONTRAT],"salarié")/COUNTIFS(données[Croisement],J47,données[SEXE],"H",données[TYPE DE CONTRAT],"salarié"),0))</f>
        <v/>
      </c>
      <c r="M47" s="683" t="str">
        <f t="shared" si="0"/>
        <v/>
      </c>
      <c r="N47" s="1185" t="str">
        <f>IF(J47=0,"",IFERROR(COUNTIFS(données[Croisement],'INDIC.2 Ecart Tx Augmentation'!J47,données[TYPE DE CONTRAT],"salarié",données[SEXE],"F"),0))</f>
        <v/>
      </c>
      <c r="O47" s="1185" t="str">
        <f>IF(J47=0,"",IFERROR(COUNTIFS(données[Croisement],'INDIC.2 Ecart Tx Augmentation'!J47,données[TYPE DE CONTRAT],"salarié",données[SEXE],"H"),0))</f>
        <v/>
      </c>
      <c r="P47" s="684" t="str">
        <f t="shared" si="1"/>
        <v/>
      </c>
      <c r="Q47" s="684" t="str">
        <f t="shared" si="2"/>
        <v/>
      </c>
      <c r="R47" s="685" t="str">
        <f t="shared" si="3"/>
        <v/>
      </c>
      <c r="U47" s="1042"/>
    </row>
    <row r="48" spans="3:21" ht="21">
      <c r="C48"/>
      <c r="D48"/>
      <c r="E48"/>
      <c r="F48"/>
      <c r="G48"/>
      <c r="H48"/>
      <c r="I48"/>
      <c r="J48" s="669">
        <f>IF($L$34="C.S.P.",Paramètres!E47,IF($L$34="Nouvelle cotation propre",Paramètres!I47,IF($L$34="coeficient de branche",Paramètres!G47,"")))</f>
        <v>0</v>
      </c>
      <c r="K48" s="682" t="str">
        <f>IF(OR(J48=0,ISBLANK(J48)),"",IFERROR(COUNTIFS(données[Croisement],J48,données[AUGMEN-TATION],"1",données[SEXE],"F",données[TYPE DE CONTRAT],"salarié")/COUNTIFS(données[Croisement],J48,données[SEXE],"F",données[TYPE DE CONTRAT],"salarié"),0))</f>
        <v/>
      </c>
      <c r="L48" s="682" t="str">
        <f>IF(OR(J48=0,ISBLANK(J48)),"",IFERROR(COUNTIFS(données[Croisement],J48,données[AUGMEN-TATION],"1",données[SEXE],"H",données[TYPE DE CONTRAT],"salarié")/COUNTIFS(données[Croisement],J48,données[SEXE],"H",données[TYPE DE CONTRAT],"salarié"),0))</f>
        <v/>
      </c>
      <c r="M48" s="683" t="str">
        <f t="shared" si="0"/>
        <v/>
      </c>
      <c r="N48" s="1185" t="str">
        <f>IF(J48=0,"",IFERROR(COUNTIFS(données[Croisement],'INDIC.2 Ecart Tx Augmentation'!J48,données[TYPE DE CONTRAT],"salarié",données[SEXE],"F"),0))</f>
        <v/>
      </c>
      <c r="O48" s="1185" t="str">
        <f>IF(J48=0,"",IFERROR(COUNTIFS(données[Croisement],'INDIC.2 Ecart Tx Augmentation'!J48,données[TYPE DE CONTRAT],"salarié",données[SEXE],"H"),0))</f>
        <v/>
      </c>
      <c r="P48" s="684" t="str">
        <f t="shared" si="1"/>
        <v/>
      </c>
      <c r="Q48" s="684" t="str">
        <f t="shared" si="2"/>
        <v/>
      </c>
      <c r="R48" s="685" t="str">
        <f t="shared" si="3"/>
        <v/>
      </c>
      <c r="U48" s="1042"/>
    </row>
    <row r="49" spans="3:33" ht="21">
      <c r="C49"/>
      <c r="D49"/>
      <c r="E49"/>
      <c r="F49"/>
      <c r="G49"/>
      <c r="H49"/>
      <c r="I49"/>
      <c r="J49" s="669">
        <f>IF($L$34="C.S.P.",Paramètres!E48,IF($L$34="Nouvelle cotation propre",Paramètres!I48,IF($L$34="coeficient de branche",Paramètres!G48,"")))</f>
        <v>0</v>
      </c>
      <c r="K49" s="682" t="str">
        <f>IF(OR(J49=0,ISBLANK(J49)),"",IFERROR(COUNTIFS(données[Croisement],J49,données[AUGMEN-TATION],"1",données[SEXE],"F",données[TYPE DE CONTRAT],"salarié")/COUNTIFS(données[Croisement],J49,données[SEXE],"F",données[TYPE DE CONTRAT],"salarié"),0))</f>
        <v/>
      </c>
      <c r="L49" s="682" t="str">
        <f>IF(OR(J49=0,ISBLANK(J49)),"",IFERROR(COUNTIFS(données[Croisement],J49,données[AUGMEN-TATION],"1",données[SEXE],"H",données[TYPE DE CONTRAT],"salarié")/COUNTIFS(données[Croisement],J49,données[SEXE],"H",données[TYPE DE CONTRAT],"salarié"),0))</f>
        <v/>
      </c>
      <c r="M49" s="683" t="str">
        <f t="shared" si="0"/>
        <v/>
      </c>
      <c r="N49" s="1185" t="str">
        <f>IF(J49=0,"",IFERROR(COUNTIFS(données[Croisement],'INDIC.2 Ecart Tx Augmentation'!J49,données[TYPE DE CONTRAT],"salarié",données[SEXE],"F"),0))</f>
        <v/>
      </c>
      <c r="O49" s="1185" t="str">
        <f>IF(J49=0,"",IFERROR(COUNTIFS(données[Croisement],'INDIC.2 Ecart Tx Augmentation'!J49,données[TYPE DE CONTRAT],"salarié",données[SEXE],"H"),0))</f>
        <v/>
      </c>
      <c r="P49" s="684" t="str">
        <f t="shared" si="1"/>
        <v/>
      </c>
      <c r="Q49" s="684" t="str">
        <f t="shared" si="2"/>
        <v/>
      </c>
      <c r="R49" s="685" t="str">
        <f t="shared" si="3"/>
        <v/>
      </c>
      <c r="U49" s="1042"/>
    </row>
    <row r="50" spans="3:33" ht="21">
      <c r="C50"/>
      <c r="D50"/>
      <c r="E50"/>
      <c r="F50"/>
      <c r="G50"/>
      <c r="H50"/>
      <c r="I50"/>
      <c r="J50" s="669">
        <f>IF($L$34="C.S.P.",Paramètres!E49,IF($L$34="Nouvelle cotation propre",Paramètres!I49,IF($L$34="coeficient de branche",Paramètres!G49,"")))</f>
        <v>0</v>
      </c>
      <c r="K50" s="682" t="str">
        <f>IF(OR(J50=0,ISBLANK(J50)),"",IFERROR(COUNTIFS(données[Croisement],J50,données[AUGMEN-TATION],"1",données[SEXE],"F",données[TYPE DE CONTRAT],"salarié")/COUNTIFS(données[Croisement],J50,données[SEXE],"F",données[TYPE DE CONTRAT],"salarié"),0))</f>
        <v/>
      </c>
      <c r="L50" s="682" t="str">
        <f>IF(OR(J50=0,ISBLANK(J50)),"",IFERROR(COUNTIFS(données[Croisement],J50,données[AUGMEN-TATION],"1",données[SEXE],"H",données[TYPE DE CONTRAT],"salarié")/COUNTIFS(données[Croisement],J50,données[SEXE],"H",données[TYPE DE CONTRAT],"salarié"),0))</f>
        <v/>
      </c>
      <c r="M50" s="683" t="str">
        <f t="shared" si="0"/>
        <v/>
      </c>
      <c r="N50" s="1185" t="str">
        <f>IF(J50=0,"",IFERROR(COUNTIFS(données[Croisement],'INDIC.2 Ecart Tx Augmentation'!J50,données[TYPE DE CONTRAT],"salarié",données[SEXE],"F"),0))</f>
        <v/>
      </c>
      <c r="O50" s="1185" t="str">
        <f>IF(J50=0,"",IFERROR(COUNTIFS(données[Croisement],'INDIC.2 Ecart Tx Augmentation'!J50,données[TYPE DE CONTRAT],"salarié",données[SEXE],"H"),0))</f>
        <v/>
      </c>
      <c r="P50" s="684" t="str">
        <f t="shared" si="1"/>
        <v/>
      </c>
      <c r="Q50" s="684" t="str">
        <f t="shared" si="2"/>
        <v/>
      </c>
      <c r="R50" s="685" t="str">
        <f t="shared" si="3"/>
        <v/>
      </c>
      <c r="U50" s="1042"/>
    </row>
    <row r="51" spans="3:33" ht="21">
      <c r="C51"/>
      <c r="D51"/>
      <c r="E51"/>
      <c r="F51"/>
      <c r="G51"/>
      <c r="H51"/>
      <c r="I51"/>
      <c r="J51" s="669">
        <f>IF($L$34="C.S.P.",Paramètres!E50,IF($L$34="Nouvelle cotation propre",Paramètres!I50,IF($L$34="coeficient de branche",Paramètres!G50,"")))</f>
        <v>0</v>
      </c>
      <c r="K51" s="682" t="str">
        <f>IF(OR(J51=0,ISBLANK(J51)),"",IFERROR(COUNTIFS(données[Croisement],J51,données[AUGMEN-TATION],"1",données[SEXE],"F",données[TYPE DE CONTRAT],"salarié")/COUNTIFS(données[Croisement],J51,données[SEXE],"F",données[TYPE DE CONTRAT],"salarié"),0))</f>
        <v/>
      </c>
      <c r="L51" s="682" t="str">
        <f>IF(OR(J51=0,ISBLANK(J51)),"",IFERROR(COUNTIFS(données[Croisement],J51,données[AUGMEN-TATION],"1",données[SEXE],"H",données[TYPE DE CONTRAT],"salarié")/COUNTIFS(données[Croisement],J51,données[SEXE],"H",données[TYPE DE CONTRAT],"salarié"),0))</f>
        <v/>
      </c>
      <c r="M51" s="683" t="str">
        <f t="shared" si="0"/>
        <v/>
      </c>
      <c r="N51" s="1185" t="str">
        <f>IF(J51=0,"",IFERROR(COUNTIFS(données[Croisement],'INDIC.2 Ecart Tx Augmentation'!J51,données[TYPE DE CONTRAT],"salarié",données[SEXE],"F"),0))</f>
        <v/>
      </c>
      <c r="O51" s="1185" t="str">
        <f>IF(J51=0,"",IFERROR(COUNTIFS(données[Croisement],'INDIC.2 Ecart Tx Augmentation'!J51,données[TYPE DE CONTRAT],"salarié",données[SEXE],"H"),0))</f>
        <v/>
      </c>
      <c r="P51" s="684" t="str">
        <f t="shared" si="1"/>
        <v/>
      </c>
      <c r="Q51" s="684" t="str">
        <f t="shared" si="2"/>
        <v/>
      </c>
      <c r="R51" s="685" t="str">
        <f t="shared" si="3"/>
        <v/>
      </c>
      <c r="U51" s="1042"/>
    </row>
    <row r="52" spans="3:33" ht="22">
      <c r="C52"/>
      <c r="D52"/>
      <c r="E52"/>
      <c r="F52"/>
      <c r="G52"/>
      <c r="H52"/>
      <c r="I52"/>
      <c r="J52" s="451" t="s">
        <v>253</v>
      </c>
      <c r="K52" s="686">
        <f>SUMPRODUCT(K39:K51,N39:N51)/SUM(N39:N51)</f>
        <v>0.49166666666666664</v>
      </c>
      <c r="L52" s="686">
        <f>SUMPRODUCT(L39:L42,O39:O42)/SUM(O39:O42)</f>
        <v>0.42</v>
      </c>
      <c r="M52" s="419">
        <f>IF(AND(L52&gt;=0,K52&gt;=0),L52-K52," ")</f>
        <v>-7.1666666666666656E-2</v>
      </c>
      <c r="N52" s="1366">
        <f>SUM(N39:O51)</f>
        <v>320</v>
      </c>
      <c r="O52" s="1367"/>
      <c r="P52" s="420"/>
      <c r="Q52" s="687">
        <f>SUM(Q39:Q51)</f>
        <v>320</v>
      </c>
      <c r="R52" s="688">
        <f>SUM(R39:R51)</f>
        <v>-7.6362433862433882E-2</v>
      </c>
    </row>
    <row r="53" spans="3:33" ht="21">
      <c r="C53"/>
      <c r="D53"/>
      <c r="E53"/>
      <c r="F53"/>
      <c r="G53"/>
      <c r="H53"/>
      <c r="I53"/>
      <c r="K53" s="460"/>
      <c r="L53" s="460"/>
      <c r="M53" s="462"/>
      <c r="N53" s="461"/>
      <c r="O53" s="461"/>
      <c r="P53" s="461"/>
      <c r="Q53" s="461"/>
      <c r="R53" s="469"/>
    </row>
    <row r="54" spans="3:33">
      <c r="C54"/>
      <c r="D54"/>
      <c r="E54"/>
      <c r="F54"/>
      <c r="G54"/>
      <c r="H54"/>
      <c r="I54"/>
    </row>
    <row r="55" spans="3:33" ht="21">
      <c r="C55"/>
      <c r="D55"/>
      <c r="E55"/>
      <c r="F55"/>
      <c r="G55"/>
      <c r="H55"/>
      <c r="I55"/>
      <c r="J55" s="449" t="s">
        <v>254</v>
      </c>
      <c r="L55" s="463">
        <f>IF(AND(Q52&gt;=40%*N52,OR(K52&gt;0,L52&gt;0)),1,0)</f>
        <v>1</v>
      </c>
      <c r="M55" s="181" t="str">
        <f>IF(L55=1,"Il y a eu des augmentations et les effectifs valides représentent plus de 40 % des effectifs totaux.",IF(OR(K52&gt;0,L52&gt;0),"Les effectifs valides représentent moins de 40 % des effectifs totaux.","Il n'y a pas eu d'augmentations dans l'entreprise."))</f>
        <v>Il y a eu des augmentations et les effectifs valides représentent plus de 40 % des effectifs totaux.</v>
      </c>
      <c r="O55" s="464"/>
    </row>
    <row r="56" spans="3:33" ht="21">
      <c r="C56"/>
      <c r="D56"/>
      <c r="E56"/>
      <c r="F56"/>
      <c r="G56"/>
      <c r="H56"/>
      <c r="I56"/>
      <c r="J56" s="449" t="s">
        <v>289</v>
      </c>
      <c r="L56" s="465">
        <f>IF(L55=1,ABS(ROUND(100*R52,1)),"INCALCULABLE")</f>
        <v>7.6</v>
      </c>
      <c r="M56" s="181" t="str">
        <f>IF(AND(R52&gt;=0.05%,L55=1),"Un écart d'augmentations est constaté en faveur des hommes.",IF(AND(R52&lt;=-0.05%,L55=1),"Un écart d'augmentations est constaté en faveur des femmes."," "))</f>
        <v>Un écart d'augmentations est constaté en faveur des femmes.</v>
      </c>
      <c r="O56" s="464"/>
    </row>
    <row r="57" spans="3:33" ht="21">
      <c r="C57"/>
      <c r="D57"/>
      <c r="E57"/>
      <c r="F57"/>
      <c r="G57"/>
      <c r="H57"/>
      <c r="I57"/>
      <c r="J57" s="449" t="s">
        <v>379</v>
      </c>
      <c r="L57" s="468" t="e">
        <f>IF('INDIC. 1 Ecart Rémunération'!N22=1,IF(AND('INDIC. 1 Ecart Rémunération'!N22&lt;MAX('Note INDEX'!D68:D89), SIGN(R52)=-SIGN(M63)),MAX('Note INDEX'!G68:G71),VLOOKUP(L56,'Note INDEX'!F68:G71,2)),VLOOKUP(L56,'Note INDEX'!F68:G71,2))</f>
        <v>#VALUE!</v>
      </c>
      <c r="M57" s="181" t="s">
        <v>531</v>
      </c>
    </row>
    <row r="58" spans="3:33">
      <c r="C58"/>
      <c r="D58"/>
      <c r="E58"/>
      <c r="F58"/>
      <c r="G58"/>
      <c r="H58"/>
      <c r="I58"/>
    </row>
    <row r="59" spans="3:33">
      <c r="C59"/>
      <c r="D59"/>
      <c r="E59"/>
      <c r="F59"/>
      <c r="G59"/>
      <c r="H59"/>
      <c r="I59"/>
    </row>
    <row r="60" spans="3:33">
      <c r="C60" s="447"/>
      <c r="D60" s="447"/>
      <c r="E60" s="447"/>
      <c r="F60" s="447"/>
      <c r="G60" s="447"/>
      <c r="H60" s="447"/>
      <c r="I60" s="447"/>
    </row>
    <row r="61" spans="3:33">
      <c r="C61" s="447"/>
      <c r="D61" s="447"/>
      <c r="E61" s="447"/>
      <c r="F61" s="447"/>
      <c r="G61" s="447"/>
      <c r="H61" s="447"/>
      <c r="I61" s="447"/>
    </row>
    <row r="62" spans="3:33">
      <c r="C62" s="447"/>
      <c r="D62" s="447"/>
      <c r="E62" s="447"/>
      <c r="F62" s="447"/>
      <c r="G62" s="447"/>
      <c r="H62" s="447"/>
      <c r="I62" s="447"/>
      <c r="Q62"/>
      <c r="R62"/>
      <c r="S62"/>
    </row>
    <row r="63" spans="3:33" ht="90" customHeight="1">
      <c r="J63" s="1363" t="s">
        <v>472</v>
      </c>
      <c r="K63" s="1364"/>
      <c r="L63" s="1365"/>
      <c r="M63" s="1198" t="s">
        <v>477</v>
      </c>
      <c r="N63" s="1199"/>
      <c r="O63" s="1199"/>
      <c r="P63" s="1199"/>
      <c r="Q63" s="1199"/>
      <c r="R63" s="1200"/>
      <c r="S63" s="1170"/>
      <c r="T63" s="1170"/>
      <c r="U63" s="1170"/>
      <c r="V63" s="1170"/>
      <c r="W63" s="1170"/>
      <c r="X63" s="1170"/>
      <c r="Y63" s="1170"/>
      <c r="Z63" s="1170"/>
      <c r="AA63" s="1170"/>
      <c r="AB63" s="1170"/>
      <c r="AC63" s="1170"/>
      <c r="AD63" s="1170"/>
      <c r="AE63" s="1170"/>
      <c r="AF63" s="1170"/>
      <c r="AG63" s="1170"/>
    </row>
    <row r="64" spans="3:33" ht="107" customHeight="1">
      <c r="J64" s="1363" t="s">
        <v>473</v>
      </c>
      <c r="K64" s="1364"/>
      <c r="L64" s="1365"/>
      <c r="M64" s="1191" t="s">
        <v>478</v>
      </c>
      <c r="N64" s="1196"/>
      <c r="O64" s="1196"/>
      <c r="P64" s="1196"/>
      <c r="Q64" s="1196"/>
      <c r="R64" s="1197"/>
      <c r="S64" s="1170"/>
      <c r="T64" s="1170"/>
      <c r="U64" s="1170"/>
      <c r="V64" s="1170"/>
      <c r="W64" s="1170"/>
      <c r="X64" s="1170"/>
      <c r="Y64" s="1170"/>
      <c r="Z64" s="1170"/>
      <c r="AA64" s="1170"/>
      <c r="AB64" s="1170"/>
      <c r="AC64" s="1170"/>
      <c r="AD64" s="1170"/>
      <c r="AE64" s="1170"/>
      <c r="AF64" s="1170"/>
      <c r="AG64" s="1170"/>
    </row>
    <row r="65" spans="17:19">
      <c r="Q65"/>
      <c r="R65"/>
      <c r="S65"/>
    </row>
    <row r="66" spans="17:19">
      <c r="Q66"/>
      <c r="R66"/>
      <c r="S66"/>
    </row>
    <row r="67" spans="17:19">
      <c r="Q67"/>
      <c r="R67"/>
      <c r="S67"/>
    </row>
    <row r="68" spans="17:19">
      <c r="Q68"/>
      <c r="R68"/>
      <c r="S68"/>
    </row>
    <row r="69" spans="17:19">
      <c r="Q69"/>
      <c r="R69"/>
      <c r="S69"/>
    </row>
    <row r="70" spans="17:19">
      <c r="Q70"/>
      <c r="R70"/>
      <c r="S70"/>
    </row>
    <row r="71" spans="17:19">
      <c r="Q71"/>
      <c r="R71"/>
      <c r="S71"/>
    </row>
    <row r="72" spans="17:19">
      <c r="Q72"/>
      <c r="R72"/>
      <c r="S72"/>
    </row>
    <row r="73" spans="17:19">
      <c r="Q73"/>
      <c r="R73"/>
      <c r="S73"/>
    </row>
    <row r="74" spans="17:19">
      <c r="Q74"/>
      <c r="R74"/>
      <c r="S74"/>
    </row>
    <row r="75" spans="17:19">
      <c r="Q75"/>
      <c r="R75"/>
      <c r="S75"/>
    </row>
    <row r="76" spans="17:19">
      <c r="Q76"/>
      <c r="R76"/>
      <c r="S76"/>
    </row>
    <row r="77" spans="17:19">
      <c r="Q77"/>
      <c r="R77"/>
      <c r="S77"/>
    </row>
    <row r="78" spans="17:19">
      <c r="Q78"/>
      <c r="R78"/>
      <c r="S78"/>
    </row>
    <row r="79" spans="17:19">
      <c r="Q79"/>
      <c r="R79"/>
      <c r="S79"/>
    </row>
  </sheetData>
  <mergeCells count="21">
    <mergeCell ref="O15:P15"/>
    <mergeCell ref="Q15:Q16"/>
    <mergeCell ref="R15:R16"/>
    <mergeCell ref="R37:R38"/>
    <mergeCell ref="L34:N34"/>
    <mergeCell ref="C5:D5"/>
    <mergeCell ref="S1:T1"/>
    <mergeCell ref="J63:L63"/>
    <mergeCell ref="J64:L64"/>
    <mergeCell ref="N52:O52"/>
    <mergeCell ref="K37:L37"/>
    <mergeCell ref="M37:M38"/>
    <mergeCell ref="N37:O37"/>
    <mergeCell ref="P37:P38"/>
    <mergeCell ref="Q37:Q38"/>
    <mergeCell ref="J37:J38"/>
    <mergeCell ref="S15:S16"/>
    <mergeCell ref="N24:S25"/>
    <mergeCell ref="J15:J16"/>
    <mergeCell ref="K15:L15"/>
    <mergeCell ref="M15:N15"/>
  </mergeCells>
  <dataValidations count="1">
    <dataValidation allowBlank="1" showInputMessage="1" showErrorMessage="1" prompt="Choisir dans le menu déroulant le choix souhaité et mettre à jour le tableau (clic droit, et « actualiser)" sqref="L34:N34" xr:uid="{F2E8483D-801D-054A-AD6F-6426F7B690D1}"/>
  </dataValidations>
  <hyperlinks>
    <hyperlink ref="J1" location="SOMMAIRE!A1" display="SOMMAIRE" xr:uid="{76D29598-12EA-394A-BC15-9A09661BBB26}"/>
    <hyperlink ref="S1" location="'Bilan EGALIZ'!A1" display="BILAN EGALIZ" xr:uid="{7500EDE8-DB17-4B4F-B4D8-974F84686040}"/>
    <hyperlink ref="S1:T1" location="DIAGNOSTIC!A1" display="BILAN EGALIZ" xr:uid="{05217099-6DA8-7444-905C-8C0F3AD6AA1C}"/>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6">
    <tabColor rgb="FFFF2F92"/>
  </sheetPr>
  <dimension ref="A1:AG46"/>
  <sheetViews>
    <sheetView showGridLines="0" zoomScale="90" zoomScaleNormal="90" workbookViewId="0">
      <selection activeCell="J1" sqref="J1"/>
    </sheetView>
  </sheetViews>
  <sheetFormatPr baseColWidth="10" defaultRowHeight="13"/>
  <cols>
    <col min="1" max="1" width="8.1640625" style="119" customWidth="1"/>
    <col min="3" max="3" width="20.6640625" customWidth="1"/>
    <col min="4" max="4" width="5.5" customWidth="1"/>
    <col min="5" max="8" width="2" customWidth="1"/>
    <col min="9" max="9" width="3.5" customWidth="1"/>
    <col min="10" max="10" width="54" customWidth="1"/>
    <col min="11" max="11" width="25.6640625" customWidth="1"/>
    <col min="12" max="12" width="20.83203125" customWidth="1"/>
    <col min="13" max="13" width="17.1640625" customWidth="1"/>
    <col min="14" max="17" width="11" customWidth="1"/>
    <col min="18" max="18" width="21.83203125" customWidth="1"/>
    <col min="19" max="19" width="36" customWidth="1"/>
  </cols>
  <sheetData>
    <row r="1" spans="1:20" s="119" customFormat="1" ht="63.75" customHeight="1">
      <c r="A1" s="118"/>
      <c r="J1" s="1165" t="s">
        <v>980</v>
      </c>
      <c r="R1" s="1286" t="s">
        <v>382</v>
      </c>
      <c r="S1" s="1286"/>
    </row>
    <row r="3" spans="1:20" s="8" customFormat="1">
      <c r="A3" s="119"/>
      <c r="B3" s="14"/>
      <c r="C3" s="75"/>
      <c r="D3" s="75"/>
      <c r="E3" s="75"/>
      <c r="F3" s="75"/>
      <c r="G3" s="75"/>
      <c r="H3" s="75"/>
      <c r="J3" s="14"/>
    </row>
    <row r="4" spans="1:20" s="8" customFormat="1" ht="6" customHeight="1">
      <c r="A4" s="119"/>
      <c r="B4" s="14"/>
      <c r="C4" s="14"/>
      <c r="D4" s="14"/>
      <c r="E4" s="14"/>
      <c r="F4" s="14"/>
      <c r="G4" s="14"/>
      <c r="H4" s="14"/>
      <c r="J4" s="14"/>
    </row>
    <row r="5" spans="1:20" s="8" customFormat="1" ht="20" customHeight="1">
      <c r="A5" s="119"/>
      <c r="B5" s="14"/>
      <c r="C5" s="1374" t="s">
        <v>239</v>
      </c>
      <c r="D5" s="1374"/>
      <c r="E5" s="116"/>
      <c r="F5" s="116"/>
      <c r="G5" s="116"/>
      <c r="H5" s="116"/>
      <c r="J5" s="14"/>
    </row>
    <row r="6" spans="1:20" s="8" customFormat="1" ht="20" customHeight="1">
      <c r="A6" s="119"/>
      <c r="B6" s="14"/>
      <c r="C6" s="1374"/>
      <c r="D6" s="1374"/>
      <c r="E6" s="116"/>
      <c r="F6" s="116"/>
      <c r="G6" s="116"/>
      <c r="H6" s="116"/>
      <c r="J6" s="14"/>
    </row>
    <row r="7" spans="1:20" s="71" customFormat="1" ht="28" customHeight="1">
      <c r="A7" s="119"/>
      <c r="B7" s="22"/>
      <c r="C7" s="194"/>
      <c r="D7" s="88"/>
      <c r="E7" s="195"/>
      <c r="F7" s="195"/>
      <c r="G7" s="195"/>
      <c r="H7" s="195"/>
      <c r="J7" s="22"/>
    </row>
    <row r="8" spans="1:20" s="71" customFormat="1" ht="44" customHeight="1">
      <c r="A8" s="119"/>
      <c r="B8" s="22"/>
      <c r="C8" s="1375" t="s">
        <v>431</v>
      </c>
      <c r="D8" s="1376"/>
      <c r="E8" s="1376"/>
      <c r="F8" s="1376"/>
      <c r="G8" s="1376"/>
      <c r="H8" s="1376"/>
      <c r="I8" s="1376"/>
      <c r="J8" s="1376"/>
      <c r="K8" s="1376"/>
      <c r="L8" s="1376"/>
      <c r="M8" s="1376"/>
      <c r="N8" s="1376"/>
      <c r="O8" s="1376"/>
      <c r="P8" s="345"/>
    </row>
    <row r="9" spans="1:20" ht="25">
      <c r="C9" s="1144" t="s">
        <v>351</v>
      </c>
      <c r="E9" s="206" t="s">
        <v>375</v>
      </c>
    </row>
    <row r="10" spans="1:20" s="72" customFormat="1" ht="25" customHeight="1">
      <c r="A10" s="119"/>
      <c r="C10" s="179"/>
      <c r="J10" s="230" t="s">
        <v>388</v>
      </c>
    </row>
    <row r="11" spans="1:20" s="72" customFormat="1" ht="26">
      <c r="A11" s="119"/>
      <c r="C11" s="178" t="s">
        <v>374</v>
      </c>
      <c r="J11" s="337" t="s">
        <v>445</v>
      </c>
    </row>
    <row r="12" spans="1:20" s="72" customFormat="1" ht="9" customHeight="1">
      <c r="A12" s="119"/>
      <c r="C12" s="405"/>
      <c r="J12" s="337"/>
    </row>
    <row r="13" spans="1:20" s="92" customFormat="1" ht="20">
      <c r="A13" s="119"/>
      <c r="J13" s="1188" t="s">
        <v>991</v>
      </c>
      <c r="K13" s="1372" t="str">
        <f>'INDIC. 1 Ecart Rémunération'!I20</f>
        <v>Nouvelle cotation propre</v>
      </c>
      <c r="L13" s="1373"/>
      <c r="M13" s="1373"/>
      <c r="N13" s="428" t="s">
        <v>952</v>
      </c>
      <c r="O13" s="438"/>
      <c r="P13" s="438"/>
      <c r="Q13" s="438"/>
      <c r="R13" s="438"/>
      <c r="S13" s="438"/>
      <c r="T13" s="438"/>
    </row>
    <row r="14" spans="1:20">
      <c r="L14" s="1382"/>
      <c r="M14" s="1382"/>
      <c r="N14" s="1382"/>
    </row>
    <row r="15" spans="1:20" s="92" customFormat="1" ht="16">
      <c r="A15" s="119"/>
      <c r="C15"/>
      <c r="D15"/>
      <c r="E15"/>
      <c r="F15"/>
      <c r="G15"/>
      <c r="H15"/>
      <c r="I15"/>
      <c r="J15" s="93" t="s">
        <v>257</v>
      </c>
      <c r="K15" s="94"/>
      <c r="L15" s="94"/>
      <c r="M15" s="94"/>
      <c r="N15" s="94"/>
      <c r="O15" s="94"/>
      <c r="P15" s="94"/>
      <c r="Q15" s="94"/>
      <c r="R15" s="94"/>
    </row>
    <row r="16" spans="1:20" s="92" customFormat="1" ht="16">
      <c r="A16" s="122"/>
      <c r="C16"/>
      <c r="D16"/>
      <c r="E16"/>
      <c r="F16"/>
      <c r="G16"/>
      <c r="H16"/>
      <c r="I16"/>
      <c r="J16" s="93" t="s">
        <v>285</v>
      </c>
      <c r="K16" s="94"/>
      <c r="L16" s="94"/>
      <c r="M16" s="94"/>
      <c r="N16" s="94"/>
      <c r="O16" s="94"/>
      <c r="P16" s="94"/>
      <c r="Q16" s="94"/>
      <c r="R16" s="94"/>
    </row>
    <row r="17" spans="1:18" s="92" customFormat="1" ht="16">
      <c r="A17" s="122"/>
      <c r="C17"/>
      <c r="D17"/>
      <c r="E17"/>
      <c r="F17"/>
      <c r="G17"/>
      <c r="H17"/>
      <c r="I17"/>
    </row>
    <row r="18" spans="1:18" s="92" customFormat="1" ht="86" customHeight="1">
      <c r="A18" s="122"/>
      <c r="C18" s="1041"/>
      <c r="D18"/>
      <c r="E18"/>
      <c r="F18"/>
      <c r="G18"/>
      <c r="H18"/>
      <c r="I18"/>
      <c r="J18" s="1380" t="s">
        <v>241</v>
      </c>
      <c r="K18" s="1377" t="s">
        <v>290</v>
      </c>
      <c r="L18" s="1377"/>
      <c r="M18" s="1377" t="s">
        <v>291</v>
      </c>
      <c r="N18" s="1381" t="s">
        <v>244</v>
      </c>
      <c r="O18" s="1380"/>
      <c r="P18" s="1377" t="s">
        <v>245</v>
      </c>
      <c r="Q18" s="1377" t="s">
        <v>288</v>
      </c>
      <c r="R18" s="1377" t="s">
        <v>247</v>
      </c>
    </row>
    <row r="19" spans="1:18" s="92" customFormat="1" ht="20">
      <c r="A19" s="122"/>
      <c r="C19"/>
      <c r="D19"/>
      <c r="E19"/>
      <c r="F19"/>
      <c r="G19"/>
      <c r="H19"/>
      <c r="I19"/>
      <c r="J19" s="1380"/>
      <c r="K19" s="497" t="s">
        <v>248</v>
      </c>
      <c r="L19" s="497" t="s">
        <v>249</v>
      </c>
      <c r="M19" s="1377"/>
      <c r="N19" s="497" t="s">
        <v>248</v>
      </c>
      <c r="O19" s="497" t="s">
        <v>249</v>
      </c>
      <c r="P19" s="1377"/>
      <c r="Q19" s="1377"/>
      <c r="R19" s="1377"/>
    </row>
    <row r="20" spans="1:18" s="92" customFormat="1" ht="26" customHeight="1">
      <c r="A20" s="122"/>
      <c r="C20"/>
      <c r="D20"/>
      <c r="E20"/>
      <c r="F20"/>
      <c r="G20"/>
      <c r="H20"/>
      <c r="I20"/>
      <c r="J20" s="669" t="str">
        <f>IF($K$13="C.S.P.",Paramètres!E38,IF($K$13="Nouvelle cotation propre",Paramètres!I38,IF($K$13="coeficient de branche",Paramètres!G38,"")))</f>
        <v>catégorie 1</v>
      </c>
      <c r="K20" s="672">
        <f>IF(OR(J20=0,ISBLANK(J20)),"",IFERROR(COUNTIFS(données[Croisement],J20,données[PROMOTION],"1",données[SEXE],"F",données[TYPE DE CONTRAT],"salarié")/COUNTIFS(données[Croisement],J20,données[SEXE],"F",données[TYPE DE CONTRAT],"salarié"),0))</f>
        <v>0.49333333333333335</v>
      </c>
      <c r="L20" s="672">
        <f>IF(OR(J20=0,ISBLANK(J20)),"",IFERROR(COUNTIFS(données[Croisement],J20,données[PROMOTION],"1",données[SEXE],"H",données[TYPE DE CONTRAT],"salarié")/COUNTIFS(données[Croisement],J20,données[SEXE],"H",données[TYPE DE CONTRAT],"salarié"),0))</f>
        <v>0.4148148148148148</v>
      </c>
      <c r="M20" s="673">
        <f>IF(J20=0,"",IF(AND(L20&gt;=0,K20&gt;=0),L20-K20," "))</f>
        <v>-7.8518518518518543E-2</v>
      </c>
      <c r="N20" s="674">
        <f>IF(J20=0,"",IFERROR(COUNTIFS(données[Croisement],J20,données[SEXE],"F",données[TYPE DE CONTRAT],"salarié"),0))</f>
        <v>75</v>
      </c>
      <c r="O20" s="674">
        <f>IF(J20=0,"",IFERROR(COUNTIFS(données[Croisement],J20,données[SEXE],"H",données[TYPE DE CONTRAT],"salarié"),0))</f>
        <v>135</v>
      </c>
      <c r="P20" s="675">
        <f>IF(J20=0,"",IF(AND(N20&gt;=10,O20&gt;=10),1,0))</f>
        <v>1</v>
      </c>
      <c r="Q20" s="675">
        <f>IF(J20=0,"",P20*SUM(N20:O20))</f>
        <v>210</v>
      </c>
      <c r="R20" s="676">
        <f>IF(J20=0,"",IF(P20=1,M20*Q20/$Q$30,0))</f>
        <v>-5.1527777777777797E-2</v>
      </c>
    </row>
    <row r="21" spans="1:18" s="92" customFormat="1" ht="26" customHeight="1">
      <c r="A21" s="122"/>
      <c r="C21"/>
      <c r="D21"/>
      <c r="E21"/>
      <c r="F21"/>
      <c r="G21"/>
      <c r="H21"/>
      <c r="I21"/>
      <c r="J21" s="669" t="str">
        <f>IF($K$13="C.S.P.",Paramètres!E39,IF($K$13="Nouvelle cotation propre",Paramètres!I39,IF($K$13="coeficient de branche",Paramètres!G39,"")))</f>
        <v>catégorie 2</v>
      </c>
      <c r="K21" s="672">
        <f>IF(OR(J21=0,ISBLANK(J21)),"",IFERROR(COUNTIFS(données[Croisement],J21,données[PROMOTION],"1",données[SEXE],"F",données[TYPE DE CONTRAT],"salarié")/COUNTIFS(données[Croisement],J21,données[SEXE],"F",données[TYPE DE CONTRAT],"salarié"),0))</f>
        <v>0.48148148148148145</v>
      </c>
      <c r="L21" s="672">
        <f>IF(OR(J21=0,ISBLANK(J21)),"",IFERROR(COUNTIFS(données[Croisement],J21,données[PROMOTION],"1",données[SEXE],"H",données[TYPE DE CONTRAT],"salarié")/COUNTIFS(données[Croisement],J21,données[SEXE],"H",données[TYPE DE CONTRAT],"salarié"),0))</f>
        <v>0.45714285714285713</v>
      </c>
      <c r="M21" s="673">
        <f t="shared" ref="M21:M29" si="0">IF(J21=0,"",IF(AND(L21&gt;=0,K21&gt;=0),L21-K21," "))</f>
        <v>-2.4338624338624326E-2</v>
      </c>
      <c r="N21" s="674">
        <f>IF(J21=0,"",IFERROR(COUNTIFS(données[Croisement],J21,données[SEXE],"F",données[TYPE DE CONTRAT],"salarié"),0))</f>
        <v>27</v>
      </c>
      <c r="O21" s="674">
        <f>IF(J21=0,"",IFERROR(COUNTIFS(données[Croisement],J21,données[SEXE],"H",données[TYPE DE CONTRAT],"salarié"),0))</f>
        <v>35</v>
      </c>
      <c r="P21" s="675">
        <f t="shared" ref="P21:P29" si="1">IF(J21=0,"",IF(AND(N21&gt;=10,O21&gt;=10),1,0))</f>
        <v>1</v>
      </c>
      <c r="Q21" s="675">
        <f t="shared" ref="Q21:Q29" si="2">IF(J21=0,"",P21*SUM(N21:O21))</f>
        <v>62</v>
      </c>
      <c r="R21" s="676">
        <f t="shared" ref="R21:R29" si="3">IF(J21=0,"",IF(P21=1,M21*Q21/$Q$30,0))</f>
        <v>-4.7156084656084628E-3</v>
      </c>
    </row>
    <row r="22" spans="1:18" s="92" customFormat="1" ht="26" customHeight="1">
      <c r="A22" s="122"/>
      <c r="C22"/>
      <c r="D22"/>
      <c r="E22"/>
      <c r="F22"/>
      <c r="G22"/>
      <c r="H22"/>
      <c r="I22"/>
      <c r="J22" s="669" t="str">
        <f>IF($K$13="C.S.P.",Paramètres!E40,IF($K$13="Nouvelle cotation propre",Paramètres!I40,IF($K$13="coeficient de branche",Paramètres!G40,"")))</f>
        <v>catégorie 3</v>
      </c>
      <c r="K22" s="672">
        <f>IF(OR(J22=0,ISBLANK(J22)),"",IFERROR(COUNTIFS(données[Croisement],J22,données[PROMOTION],"1",données[SEXE],"F",données[TYPE DE CONTRAT],"salarié")/COUNTIFS(données[Croisement],J22,données[SEXE],"F",données[TYPE DE CONTRAT],"salarié"),0))</f>
        <v>0.55555555555555558</v>
      </c>
      <c r="L22" s="672">
        <f>IF(OR(J22=0,ISBLANK(J22)),"",IFERROR(COUNTIFS(données[Croisement],J22,données[PROMOTION],"1",données[SEXE],"H",données[TYPE DE CONTRAT],"salarié")/COUNTIFS(données[Croisement],J22,données[SEXE],"H",données[TYPE DE CONTRAT],"salarié"),0))</f>
        <v>0.36666666666666664</v>
      </c>
      <c r="M22" s="673">
        <f t="shared" si="0"/>
        <v>-0.18888888888888894</v>
      </c>
      <c r="N22" s="674">
        <f>IF(J22=0,"",IFERROR(COUNTIFS(données[Croisement],J22,données[SEXE],"F",données[TYPE DE CONTRAT],"salarié"),0))</f>
        <v>18</v>
      </c>
      <c r="O22" s="674">
        <f>IF(J22=0,"",IFERROR(COUNTIFS(données[Croisement],J22,données[SEXE],"H",données[TYPE DE CONTRAT],"salarié"),0))</f>
        <v>30</v>
      </c>
      <c r="P22" s="675">
        <f t="shared" si="1"/>
        <v>1</v>
      </c>
      <c r="Q22" s="675">
        <f t="shared" si="2"/>
        <v>48</v>
      </c>
      <c r="R22" s="676">
        <f t="shared" si="3"/>
        <v>-2.8333333333333342E-2</v>
      </c>
    </row>
    <row r="23" spans="1:18" s="92" customFormat="1" ht="26" customHeight="1">
      <c r="A23" s="122"/>
      <c r="C23"/>
      <c r="D23"/>
      <c r="E23"/>
      <c r="F23"/>
      <c r="G23"/>
      <c r="H23"/>
      <c r="I23"/>
      <c r="J23" s="669">
        <f>IF($K$13="C.S.P.",Paramètres!E41,IF($K$13="Nouvelle cotation propre",Paramètres!I41,IF($K$13="coeficient de branche",Paramètres!G41,"")))</f>
        <v>0</v>
      </c>
      <c r="K23" s="672" t="str">
        <f>IF(OR(J23=0,ISBLANK(J23)),"",IFERROR(COUNTIFS(données[Croisement],J23,données[PROMOTION],"1",données[SEXE],"F",données[TYPE DE CONTRAT],"salarié")/COUNTIFS(données[Croisement],J23,données[SEXE],"F",données[TYPE DE CONTRAT],"salarié"),0))</f>
        <v/>
      </c>
      <c r="L23" s="672" t="str">
        <f>IF(OR(J23=0,ISBLANK(J23)),"",IFERROR(COUNTIFS(données[Croisement],J23,données[PROMOTION],"1",données[SEXE],"H",données[TYPE DE CONTRAT],"salarié")/COUNTIFS(données[Croisement],J23,données[SEXE],"H",données[TYPE DE CONTRAT],"salarié"),0))</f>
        <v/>
      </c>
      <c r="M23" s="673" t="str">
        <f t="shared" si="0"/>
        <v/>
      </c>
      <c r="N23" s="674" t="str">
        <f>IF(J23=0,"",IFERROR(COUNTIFS(données[Croisement],J23,données[SEXE],"F",données[TYPE DE CONTRAT],"salarié"),0))</f>
        <v/>
      </c>
      <c r="O23" s="674" t="str">
        <f>IF(J23=0,"",IFERROR(COUNTIFS(données[Croisement],J23,données[SEXE],"H",données[TYPE DE CONTRAT],"salarié"),0))</f>
        <v/>
      </c>
      <c r="P23" s="675" t="str">
        <f t="shared" si="1"/>
        <v/>
      </c>
      <c r="Q23" s="675" t="str">
        <f t="shared" si="2"/>
        <v/>
      </c>
      <c r="R23" s="676" t="str">
        <f t="shared" si="3"/>
        <v/>
      </c>
    </row>
    <row r="24" spans="1:18" s="92" customFormat="1" ht="26" customHeight="1">
      <c r="A24" s="122"/>
      <c r="C24"/>
      <c r="D24"/>
      <c r="E24"/>
      <c r="F24"/>
      <c r="G24"/>
      <c r="H24"/>
      <c r="I24"/>
      <c r="J24" s="669">
        <f>IF($K$13="C.S.P.",Paramètres!E42,IF($K$13="Nouvelle cotation propre",Paramètres!I42,IF($K$13="coeficient de branche",Paramètres!G42,"")))</f>
        <v>0</v>
      </c>
      <c r="K24" s="672" t="str">
        <f>IF(OR(J24=0,ISBLANK(J24)),"",IFERROR(COUNTIFS(données[Croisement],J24,données[PROMOTION],"1",données[SEXE],"F",données[TYPE DE CONTRAT],"salarié")/COUNTIFS(données[Croisement],J24,données[SEXE],"F",données[TYPE DE CONTRAT],"salarié"),0))</f>
        <v/>
      </c>
      <c r="L24" s="672" t="str">
        <f>IF(OR(J24=0,ISBLANK(J24)),"",IFERROR(COUNTIFS(données[Croisement],J24,données[PROMOTION],"1",données[SEXE],"H",données[TYPE DE CONTRAT],"salarié")/COUNTIFS(données[Croisement],J24,données[SEXE],"H",données[TYPE DE CONTRAT],"salarié"),0))</f>
        <v/>
      </c>
      <c r="M24" s="673" t="str">
        <f t="shared" si="0"/>
        <v/>
      </c>
      <c r="N24" s="674" t="str">
        <f>IF(J24=0,"",IFERROR(COUNTIFS(données[Croisement],J24,données[SEXE],"F",données[TYPE DE CONTRAT],"salarié"),0))</f>
        <v/>
      </c>
      <c r="O24" s="674" t="str">
        <f>IF(J24=0,"",IFERROR(COUNTIFS(données[Croisement],J24,données[SEXE],"H",données[TYPE DE CONTRAT],"salarié"),0))</f>
        <v/>
      </c>
      <c r="P24" s="675" t="str">
        <f t="shared" si="1"/>
        <v/>
      </c>
      <c r="Q24" s="675" t="str">
        <f t="shared" si="2"/>
        <v/>
      </c>
      <c r="R24" s="676" t="str">
        <f t="shared" si="3"/>
        <v/>
      </c>
    </row>
    <row r="25" spans="1:18" s="92" customFormat="1" ht="26" customHeight="1">
      <c r="A25" s="122"/>
      <c r="C25"/>
      <c r="D25"/>
      <c r="E25"/>
      <c r="F25"/>
      <c r="G25"/>
      <c r="H25"/>
      <c r="I25"/>
      <c r="J25" s="669">
        <f>IF($K$13="C.S.P.",Paramètres!E43,IF($K$13="Nouvelle cotation propre",Paramètres!I43,IF($K$13="coeficient de branche",Paramètres!G43,"")))</f>
        <v>0</v>
      </c>
      <c r="K25" s="672" t="str">
        <f>IF(OR(J25=0,ISBLANK(J25)),"",IFERROR(COUNTIFS(données[Croisement],J25,données[PROMOTION],"1",données[SEXE],"F",données[TYPE DE CONTRAT],"salarié")/COUNTIFS(données[Croisement],J25,données[SEXE],"F",données[TYPE DE CONTRAT],"salarié"),0))</f>
        <v/>
      </c>
      <c r="L25" s="672" t="str">
        <f>IF(OR(J25=0,ISBLANK(J25)),"",IFERROR(COUNTIFS(données[Croisement],J25,données[PROMOTION],"1",données[SEXE],"H",données[TYPE DE CONTRAT],"salarié")/COUNTIFS(données[Croisement],J25,données[SEXE],"H",données[TYPE DE CONTRAT],"salarié"),0))</f>
        <v/>
      </c>
      <c r="M25" s="673" t="str">
        <f t="shared" si="0"/>
        <v/>
      </c>
      <c r="N25" s="674" t="str">
        <f>IF(J25=0,"",IFERROR(COUNTIFS(données[Croisement],J25,données[SEXE],"F",données[TYPE DE CONTRAT],"salarié"),0))</f>
        <v/>
      </c>
      <c r="O25" s="674" t="str">
        <f>IF(J25=0,"",IFERROR(COUNTIFS(données[Croisement],J25,données[SEXE],"H",données[TYPE DE CONTRAT],"salarié"),0))</f>
        <v/>
      </c>
      <c r="P25" s="675" t="str">
        <f t="shared" si="1"/>
        <v/>
      </c>
      <c r="Q25" s="675" t="str">
        <f t="shared" si="2"/>
        <v/>
      </c>
      <c r="R25" s="676" t="str">
        <f t="shared" si="3"/>
        <v/>
      </c>
    </row>
    <row r="26" spans="1:18" s="92" customFormat="1" ht="26" customHeight="1">
      <c r="A26" s="122"/>
      <c r="C26"/>
      <c r="D26"/>
      <c r="E26"/>
      <c r="F26"/>
      <c r="G26"/>
      <c r="H26"/>
      <c r="I26"/>
      <c r="J26" s="669">
        <f>IF($K$13="C.S.P.",Paramètres!E44,IF($K$13="Nouvelle cotation propre",Paramètres!I44,IF($K$13="coeficient de branche",Paramètres!G44,"")))</f>
        <v>0</v>
      </c>
      <c r="K26" s="672" t="str">
        <f>IF(OR(J26=0,ISBLANK(J26)),"",IFERROR(COUNTIFS(données[Croisement],J26,données[PROMOTION],"1",données[SEXE],"F",données[TYPE DE CONTRAT],"salarié")/COUNTIFS(données[Croisement],J26,données[SEXE],"F",données[TYPE DE CONTRAT],"salarié"),0))</f>
        <v/>
      </c>
      <c r="L26" s="672" t="str">
        <f>IF(OR(J26=0,ISBLANK(J26)),"",IFERROR(COUNTIFS(données[Croisement],J26,données[PROMOTION],"1",données[SEXE],"H",données[TYPE DE CONTRAT],"salarié")/COUNTIFS(données[Croisement],J26,données[SEXE],"H",données[TYPE DE CONTRAT],"salarié"),0))</f>
        <v/>
      </c>
      <c r="M26" s="673" t="str">
        <f t="shared" si="0"/>
        <v/>
      </c>
      <c r="N26" s="674" t="str">
        <f>IF(J26=0,"",IFERROR(COUNTIFS(données[Croisement],J26,données[SEXE],"F",données[TYPE DE CONTRAT],"salarié"),0))</f>
        <v/>
      </c>
      <c r="O26" s="674" t="str">
        <f>IF(J26=0,"",IFERROR(COUNTIFS(données[Croisement],J26,données[SEXE],"H",données[TYPE DE CONTRAT],"salarié"),0))</f>
        <v/>
      </c>
      <c r="P26" s="675" t="str">
        <f t="shared" si="1"/>
        <v/>
      </c>
      <c r="Q26" s="675" t="str">
        <f t="shared" si="2"/>
        <v/>
      </c>
      <c r="R26" s="676" t="str">
        <f t="shared" si="3"/>
        <v/>
      </c>
    </row>
    <row r="27" spans="1:18" s="92" customFormat="1" ht="26" customHeight="1">
      <c r="A27" s="122"/>
      <c r="C27"/>
      <c r="D27"/>
      <c r="E27"/>
      <c r="F27"/>
      <c r="G27"/>
      <c r="H27"/>
      <c r="I27"/>
      <c r="J27" s="669">
        <f>IF($K$13="C.S.P.",Paramètres!E45,IF($K$13="Nouvelle cotation propre",Paramètres!I45,IF($K$13="coeficient de branche",Paramètres!G45,"")))</f>
        <v>0</v>
      </c>
      <c r="K27" s="672" t="str">
        <f>IF(OR(J27=0,ISBLANK(J27)),"",IFERROR(COUNTIFS(données[Croisement],J27,données[PROMOTION],"1",données[SEXE],"F",données[TYPE DE CONTRAT],"salarié")/COUNTIFS(données[Croisement],J27,données[SEXE],"F",données[TYPE DE CONTRAT],"salarié"),0))</f>
        <v/>
      </c>
      <c r="L27" s="672" t="str">
        <f>IF(OR(J27=0,ISBLANK(J27)),"",IFERROR(COUNTIFS(données[Croisement],J27,données[PROMOTION],"1",données[SEXE],"H",données[TYPE DE CONTRAT],"salarié")/COUNTIFS(données[Croisement],J27,données[SEXE],"H",données[TYPE DE CONTRAT],"salarié"),0))</f>
        <v/>
      </c>
      <c r="M27" s="673" t="str">
        <f t="shared" si="0"/>
        <v/>
      </c>
      <c r="N27" s="674" t="str">
        <f>IF(J27=0,"",IFERROR(COUNTIFS(données[Croisement],J27,données[SEXE],"F",données[TYPE DE CONTRAT],"salarié"),0))</f>
        <v/>
      </c>
      <c r="O27" s="674" t="str">
        <f>IF(J27=0,"",IFERROR(COUNTIFS(données[Croisement],J27,données[SEXE],"H",données[TYPE DE CONTRAT],"salarié"),0))</f>
        <v/>
      </c>
      <c r="P27" s="675" t="str">
        <f t="shared" si="1"/>
        <v/>
      </c>
      <c r="Q27" s="675" t="str">
        <f t="shared" si="2"/>
        <v/>
      </c>
      <c r="R27" s="676" t="str">
        <f t="shared" si="3"/>
        <v/>
      </c>
    </row>
    <row r="28" spans="1:18" s="92" customFormat="1" ht="26" customHeight="1">
      <c r="A28" s="122"/>
      <c r="C28"/>
      <c r="D28"/>
      <c r="E28"/>
      <c r="F28"/>
      <c r="G28"/>
      <c r="H28"/>
      <c r="I28"/>
      <c r="J28" s="669">
        <f>IF($K$13="C.S.P.",Paramètres!E46,IF($K$13="Nouvelle cotation propre",Paramètres!I46,IF($K$13="coeficient de branche",Paramètres!G46,"")))</f>
        <v>0</v>
      </c>
      <c r="K28" s="672" t="str">
        <f>IF(OR(J28=0,ISBLANK(J28)),"",IFERROR(COUNTIFS(données[Croisement],J28,données[PROMOTION],"1",données[SEXE],"F",données[TYPE DE CONTRAT],"salarié")/COUNTIFS(données[Croisement],J28,données[SEXE],"F",données[TYPE DE CONTRAT],"salarié"),0))</f>
        <v/>
      </c>
      <c r="L28" s="672" t="str">
        <f>IF(OR(J28=0,ISBLANK(J28)),"",IFERROR(COUNTIFS(données[Croisement],J28,données[PROMOTION],"1",données[SEXE],"H",données[TYPE DE CONTRAT],"salarié")/COUNTIFS(données[Croisement],J28,données[SEXE],"H",données[TYPE DE CONTRAT],"salarié"),0))</f>
        <v/>
      </c>
      <c r="M28" s="673" t="str">
        <f t="shared" si="0"/>
        <v/>
      </c>
      <c r="N28" s="674" t="str">
        <f>IF(J28=0,"",IFERROR(COUNTIFS(données[Croisement],J28,données[SEXE],"F",données[TYPE DE CONTRAT],"salarié"),0))</f>
        <v/>
      </c>
      <c r="O28" s="674" t="str">
        <f>IF(J28=0,"",IFERROR(COUNTIFS(données[Croisement],J28,données[SEXE],"H",données[TYPE DE CONTRAT],"salarié"),0))</f>
        <v/>
      </c>
      <c r="P28" s="675" t="str">
        <f t="shared" si="1"/>
        <v/>
      </c>
      <c r="Q28" s="675" t="str">
        <f t="shared" si="2"/>
        <v/>
      </c>
      <c r="R28" s="676" t="str">
        <f t="shared" si="3"/>
        <v/>
      </c>
    </row>
    <row r="29" spans="1:18" s="92" customFormat="1" ht="26" customHeight="1">
      <c r="A29" s="122"/>
      <c r="C29"/>
      <c r="D29"/>
      <c r="E29"/>
      <c r="F29"/>
      <c r="G29"/>
      <c r="H29"/>
      <c r="I29"/>
      <c r="J29" s="669">
        <f>IF($K$13="C.S.P.",Paramètres!E47,IF($K$13="Nouvelle cotation propre",Paramètres!I47,IF($K$13="coeficient de branche",Paramètres!G47,"")))</f>
        <v>0</v>
      </c>
      <c r="K29" s="672" t="str">
        <f>IF(OR(J29=0,ISBLANK(J29)),"",IFERROR(COUNTIFS(données[Croisement],J29,données[PROMOTION],"1",données[SEXE],"F",données[TYPE DE CONTRAT],"salarié")/COUNTIFS(données[Croisement],J29,données[SEXE],"F",données[TYPE DE CONTRAT],"salarié"),0))</f>
        <v/>
      </c>
      <c r="L29" s="672" t="str">
        <f>IF(OR(J29=0,ISBLANK(J29)),"",IFERROR(COUNTIFS(données[Croisement],J29,données[PROMOTION],"1",données[SEXE],"H",données[TYPE DE CONTRAT],"salarié")/COUNTIFS(données[Croisement],J29,données[SEXE],"H",données[TYPE DE CONTRAT],"salarié"),0))</f>
        <v/>
      </c>
      <c r="M29" s="673" t="str">
        <f t="shared" si="0"/>
        <v/>
      </c>
      <c r="N29" s="674" t="str">
        <f>IF(J29=0,"",IFERROR(COUNTIFS(données[Croisement],J29,données[SEXE],"F",données[TYPE DE CONTRAT],"salarié"),0))</f>
        <v/>
      </c>
      <c r="O29" s="674" t="str">
        <f>IF(J29=0,"",IFERROR(COUNTIFS(données[Croisement],J29,données[SEXE],"H",données[TYPE DE CONTRAT],"salarié"),0))</f>
        <v/>
      </c>
      <c r="P29" s="675" t="str">
        <f t="shared" si="1"/>
        <v/>
      </c>
      <c r="Q29" s="675" t="str">
        <f t="shared" si="2"/>
        <v/>
      </c>
      <c r="R29" s="676" t="str">
        <f t="shared" si="3"/>
        <v/>
      </c>
    </row>
    <row r="30" spans="1:18" s="92" customFormat="1" ht="26" customHeight="1">
      <c r="A30" s="122"/>
      <c r="B30"/>
      <c r="C30"/>
      <c r="D30"/>
      <c r="E30"/>
      <c r="F30"/>
      <c r="G30"/>
      <c r="H30"/>
      <c r="I30"/>
      <c r="J30" s="498" t="s">
        <v>253</v>
      </c>
      <c r="K30" s="677">
        <f>SUMPRODUCT(K20:K29,N20:N29)/SUM(N20:N29)</f>
        <v>0.5</v>
      </c>
      <c r="L30" s="677">
        <f>SUMPRODUCT(L20:L29,O20:O29)/SUM(O20:O29)</f>
        <v>0.41499999999999998</v>
      </c>
      <c r="M30" s="678">
        <f>IF(AND(L30&gt;=0,K30&gt;=0),L30-K30," ")</f>
        <v>-8.500000000000002E-2</v>
      </c>
      <c r="N30" s="1378">
        <f>SUM(N20:O29)</f>
        <v>320</v>
      </c>
      <c r="O30" s="1379"/>
      <c r="P30" s="679"/>
      <c r="Q30" s="679">
        <f>SUM(Q20:Q29)</f>
        <v>320</v>
      </c>
      <c r="R30" s="680">
        <f>SUM(R20:R29)</f>
        <v>-8.4576719576719611E-2</v>
      </c>
    </row>
    <row r="31" spans="1:18" s="92" customFormat="1" ht="16">
      <c r="A31" s="122"/>
      <c r="B31"/>
      <c r="C31"/>
      <c r="D31"/>
      <c r="E31"/>
      <c r="F31"/>
      <c r="G31"/>
      <c r="H31"/>
      <c r="I31"/>
      <c r="J31" s="96"/>
      <c r="K31" s="97"/>
      <c r="L31" s="97"/>
      <c r="M31" s="98"/>
      <c r="N31" s="99"/>
      <c r="O31" s="99"/>
      <c r="P31" s="99"/>
      <c r="Q31" s="99"/>
      <c r="R31" s="100"/>
    </row>
    <row r="32" spans="1:18" s="92" customFormat="1" ht="16">
      <c r="A32" s="122"/>
      <c r="B32"/>
      <c r="C32"/>
      <c r="D32"/>
      <c r="E32"/>
      <c r="F32"/>
      <c r="G32"/>
      <c r="H32"/>
      <c r="I32"/>
    </row>
    <row r="33" spans="1:33" s="92" customFormat="1" ht="16">
      <c r="A33" s="122"/>
      <c r="B33"/>
      <c r="C33"/>
      <c r="D33"/>
      <c r="E33"/>
      <c r="F33"/>
      <c r="G33"/>
      <c r="H33"/>
      <c r="I33"/>
    </row>
    <row r="34" spans="1:33" s="92" customFormat="1" ht="16">
      <c r="A34" s="122"/>
      <c r="B34"/>
      <c r="C34"/>
      <c r="D34"/>
      <c r="E34"/>
      <c r="F34"/>
      <c r="G34"/>
      <c r="H34"/>
      <c r="I34"/>
    </row>
    <row r="35" spans="1:33" s="92" customFormat="1" ht="16">
      <c r="A35" s="122"/>
      <c r="B35"/>
      <c r="C35" s="4"/>
      <c r="D35" s="4"/>
      <c r="E35" s="4"/>
      <c r="F35" s="4"/>
      <c r="G35" s="4"/>
      <c r="H35" s="4"/>
      <c r="I35" s="4"/>
    </row>
    <row r="36" spans="1:33" s="92" customFormat="1" ht="16">
      <c r="A36" s="122"/>
      <c r="B36"/>
      <c r="C36" s="4"/>
      <c r="D36" s="4"/>
      <c r="E36" s="4"/>
      <c r="F36" s="4"/>
      <c r="G36" s="4"/>
      <c r="H36" s="4"/>
      <c r="I36" s="4"/>
      <c r="J36" s="93" t="s">
        <v>254</v>
      </c>
      <c r="L36" s="101">
        <f>IF(AND(Q30&gt;=40%*N30,OR(K30&gt;0,L30&gt;0)),1,0)</f>
        <v>1</v>
      </c>
      <c r="M36" s="102" t="str">
        <f>IF(L36=1,"Il y a eu des promotions et les effectifs valides représentent plus de 40 % des effectifs totaux.",IF(OR(K30&gt;0,L30&gt;0),"Les effectifs valides représentent moins de 40 % des effectifs totaux.","Il n'y a pas eu de promotions dans l'entreprise."))</f>
        <v>Il y a eu des promotions et les effectifs valides représentent plus de 40 % des effectifs totaux.</v>
      </c>
      <c r="O36" s="103"/>
    </row>
    <row r="37" spans="1:33" ht="16">
      <c r="C37" s="4"/>
      <c r="D37" s="4"/>
      <c r="E37" s="4"/>
      <c r="F37" s="4"/>
      <c r="G37" s="4"/>
      <c r="H37" s="4"/>
      <c r="I37" s="4"/>
      <c r="J37" s="93" t="s">
        <v>292</v>
      </c>
      <c r="K37" s="92"/>
      <c r="L37" s="104">
        <f>IF(L36=1,ABS(ROUND(100*R30,1)),"INCALCULABLE")</f>
        <v>8.5</v>
      </c>
      <c r="M37" s="102" t="str">
        <f>IF(AND(R30&gt;=0.05%,L36=1),"Un écart de promotions est constaté en faveur des hommes.",IF(AND(R30&lt;=-0.05%,L36=1),"Un écart de promotions est constaté en faveur des femmes."," "))</f>
        <v>Un écart de promotions est constaté en faveur des femmes.</v>
      </c>
      <c r="N37" s="92"/>
      <c r="O37" s="103"/>
      <c r="P37" s="92"/>
      <c r="Q37" s="92"/>
      <c r="R37" s="92"/>
    </row>
    <row r="38" spans="1:33" ht="16">
      <c r="C38" s="4"/>
      <c r="D38" s="4"/>
      <c r="E38" s="4"/>
      <c r="F38" s="4"/>
      <c r="G38" s="4"/>
      <c r="H38" s="4"/>
      <c r="I38" s="4"/>
      <c r="J38" s="93" t="s">
        <v>293</v>
      </c>
      <c r="K38" s="92"/>
      <c r="L38" s="115">
        <f>IF('INDIC. 1 Ecart Rémunération'!N22=1,IF(AND('INDIC. 1 Ecart Rémunération'!N24&lt;MAX('Note INDEX'!D68:D89), SIGN('INDIC.3 Ecart Tx Promotion'!R30)=-SIGN(resuindic1)),MAX('Note INDEX'!I68:J71),VLOOKUP('INDIC.3 Ecart Tx Promotion'!L37,'Note INDEX'!I68:J71,2)),VLOOKUP(L37,'Note INDEX'!I68:J71,2))</f>
        <v>15</v>
      </c>
      <c r="M38" s="102" t="s">
        <v>531</v>
      </c>
      <c r="N38" s="92"/>
      <c r="O38" s="103"/>
      <c r="P38" s="92"/>
      <c r="Q38" s="92"/>
      <c r="R38" s="92"/>
    </row>
    <row r="39" spans="1:33">
      <c r="C39" s="4"/>
      <c r="D39" s="4"/>
      <c r="E39" s="4"/>
      <c r="F39" s="4"/>
      <c r="G39" s="4"/>
      <c r="H39" s="4"/>
      <c r="I39" s="4"/>
    </row>
    <row r="40" spans="1:33">
      <c r="C40" s="4"/>
      <c r="D40" s="4"/>
      <c r="E40" s="4"/>
      <c r="F40" s="4"/>
      <c r="G40" s="4"/>
      <c r="H40" s="4"/>
      <c r="I40" s="4"/>
    </row>
    <row r="45" spans="1:33" ht="92" customHeight="1">
      <c r="J45" s="1350" t="s">
        <v>472</v>
      </c>
      <c r="K45" s="1351"/>
      <c r="L45" s="1352"/>
      <c r="M45" s="1198" t="s">
        <v>477</v>
      </c>
      <c r="N45" s="1199"/>
      <c r="O45" s="1199"/>
      <c r="P45" s="1199"/>
      <c r="Q45" s="1199"/>
      <c r="R45" s="1200"/>
      <c r="S45" s="1170"/>
      <c r="T45" s="1170"/>
      <c r="U45" s="1170"/>
      <c r="V45" s="1170"/>
      <c r="W45" s="1170"/>
      <c r="X45" s="1170"/>
      <c r="Y45" s="1170"/>
      <c r="Z45" s="1170"/>
      <c r="AA45" s="1170"/>
      <c r="AB45" s="1170"/>
      <c r="AC45" s="1170"/>
      <c r="AD45" s="1170"/>
      <c r="AE45" s="1170"/>
      <c r="AF45" s="1170"/>
      <c r="AG45" s="1170"/>
    </row>
    <row r="46" spans="1:33" ht="101" customHeight="1">
      <c r="J46" s="1350" t="s">
        <v>473</v>
      </c>
      <c r="K46" s="1351"/>
      <c r="L46" s="1352"/>
      <c r="M46" s="1191" t="s">
        <v>478</v>
      </c>
      <c r="N46" s="1196"/>
      <c r="O46" s="1196"/>
      <c r="P46" s="1196"/>
      <c r="Q46" s="1196"/>
      <c r="R46" s="1197"/>
      <c r="S46" s="1170"/>
      <c r="T46" s="1170"/>
      <c r="U46" s="1170"/>
      <c r="V46" s="1170"/>
      <c r="W46" s="1170"/>
      <c r="X46" s="1170"/>
      <c r="Y46" s="1170"/>
      <c r="Z46" s="1170"/>
      <c r="AA46" s="1170"/>
      <c r="AB46" s="1170"/>
      <c r="AC46" s="1170"/>
      <c r="AD46" s="1170"/>
      <c r="AE46" s="1170"/>
      <c r="AF46" s="1170"/>
      <c r="AG46" s="1170"/>
    </row>
  </sheetData>
  <mergeCells count="15">
    <mergeCell ref="R1:S1"/>
    <mergeCell ref="J45:L45"/>
    <mergeCell ref="J46:L46"/>
    <mergeCell ref="C5:D6"/>
    <mergeCell ref="C8:O8"/>
    <mergeCell ref="R18:R19"/>
    <mergeCell ref="N30:O30"/>
    <mergeCell ref="J18:J19"/>
    <mergeCell ref="K18:L18"/>
    <mergeCell ref="M18:M19"/>
    <mergeCell ref="N18:O18"/>
    <mergeCell ref="P18:P19"/>
    <mergeCell ref="Q18:Q19"/>
    <mergeCell ref="L14:N14"/>
    <mergeCell ref="K13:M13"/>
  </mergeCells>
  <dataValidations count="1">
    <dataValidation allowBlank="1" showInputMessage="1" showErrorMessage="1" prompt="Choisir dans le menu déroulant le choix souhaité et mettre à jour le tableau (clic droit, et « actualiser)" sqref="K13:M13" xr:uid="{03CB09A8-72F7-C84C-9AAF-9B7B29A34862}"/>
  </dataValidations>
  <hyperlinks>
    <hyperlink ref="C5" location="'Sommaire Outil'!A1" display="retour sommaire" xr:uid="{00000000-0004-0000-0900-000000000000}"/>
    <hyperlink ref="R1" location="'Bilan EGALIZ'!A1" display="BILAN EGALIZ" xr:uid="{D4194E1F-8D9D-6E43-A471-11343458CD15}"/>
    <hyperlink ref="R1:S1" location="DIAGNOSTIC!A1" display="BILAN EGALIZ" xr:uid="{EE26F369-7997-D144-A362-ADBB0BCA8BAE}"/>
    <hyperlink ref="J1" location="SOMMAIRE!A1" display="SOMMAIRE" xr:uid="{966C6F71-B0FE-7348-BCBB-857D1E6E322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Choisir dans le menu déroulant le choix souhaité et mettre à jour le tableau (clic droit, et « actualiser)" xr:uid="{E300A424-C186-2945-A54B-1168252C7C68}">
          <x14:formula1>
            <xm:f>Paramètres!$AL$7:$AL$9</xm:f>
          </x14:formula1>
          <xm:sqref>L14:N14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7">
    <tabColor rgb="FFFF2F92"/>
  </sheetPr>
  <dimension ref="A1:Q42"/>
  <sheetViews>
    <sheetView showGridLines="0" workbookViewId="0">
      <selection activeCell="H42" sqref="H42:J42"/>
    </sheetView>
  </sheetViews>
  <sheetFormatPr baseColWidth="10" defaultRowHeight="13"/>
  <cols>
    <col min="1" max="1" width="7.83203125" style="119" customWidth="1"/>
    <col min="3" max="3" width="31.1640625" customWidth="1"/>
    <col min="4" max="4" width="17" customWidth="1"/>
    <col min="5" max="5" width="19.83203125" customWidth="1"/>
    <col min="6" max="7" width="26.83203125" customWidth="1"/>
    <col min="8" max="8" width="31.83203125" customWidth="1"/>
    <col min="10" max="10" width="76.5" customWidth="1"/>
  </cols>
  <sheetData>
    <row r="1" spans="1:17" s="119" customFormat="1" ht="50" customHeight="1">
      <c r="A1" s="118"/>
      <c r="D1" s="1165" t="s">
        <v>980</v>
      </c>
      <c r="I1" s="1286" t="s">
        <v>382</v>
      </c>
      <c r="J1" s="1286"/>
    </row>
    <row r="2" spans="1:17" ht="50" customHeight="1">
      <c r="C2" s="75"/>
    </row>
    <row r="3" spans="1:17" s="8" customFormat="1" ht="41" customHeight="1">
      <c r="A3" s="119"/>
      <c r="B3" s="14"/>
      <c r="C3" s="442" t="s">
        <v>239</v>
      </c>
    </row>
    <row r="4" spans="1:17" s="8" customFormat="1" ht="19" customHeight="1">
      <c r="A4" s="119"/>
      <c r="B4" s="14"/>
      <c r="J4" s="345"/>
    </row>
    <row r="5" spans="1:17" s="50" customFormat="1" ht="8" customHeight="1">
      <c r="A5" s="119"/>
      <c r="B5" s="25"/>
    </row>
    <row r="6" spans="1:17" s="50" customFormat="1" ht="27" customHeight="1">
      <c r="A6" s="119"/>
      <c r="B6" s="25"/>
      <c r="C6" s="1375" t="s">
        <v>391</v>
      </c>
      <c r="D6" s="1376"/>
      <c r="E6" s="1376"/>
      <c r="F6" s="1376"/>
      <c r="G6" s="1376"/>
      <c r="H6" s="1376"/>
      <c r="I6" s="1376"/>
      <c r="J6" s="1376"/>
      <c r="K6" s="1376"/>
      <c r="L6" s="1376"/>
      <c r="M6" s="1376"/>
      <c r="N6" s="1376"/>
      <c r="O6" s="1376"/>
    </row>
    <row r="7" spans="1:17" s="71" customFormat="1" ht="10" customHeight="1">
      <c r="A7" s="119"/>
      <c r="B7" s="22"/>
    </row>
    <row r="8" spans="1:17" s="71" customFormat="1" ht="9" customHeight="1">
      <c r="A8" s="119"/>
      <c r="B8" s="22"/>
    </row>
    <row r="9" spans="1:17" s="92" customFormat="1" ht="23">
      <c r="A9" s="122"/>
      <c r="C9" s="178" t="s">
        <v>351</v>
      </c>
      <c r="E9" s="230" t="s">
        <v>390</v>
      </c>
    </row>
    <row r="10" spans="1:17" s="171" customFormat="1" ht="12" customHeight="1">
      <c r="A10" s="122"/>
      <c r="C10" s="179"/>
    </row>
    <row r="11" spans="1:17" s="171" customFormat="1" ht="26">
      <c r="A11" s="122"/>
      <c r="C11" s="179"/>
      <c r="E11" s="337" t="s">
        <v>445</v>
      </c>
      <c r="F11" s="94"/>
      <c r="G11" s="94"/>
      <c r="H11" s="94"/>
      <c r="I11" s="94"/>
      <c r="J11" s="94"/>
      <c r="K11" s="94"/>
      <c r="L11" s="94"/>
      <c r="M11" s="94"/>
      <c r="N11" s="94"/>
      <c r="O11" s="94"/>
      <c r="P11" s="94"/>
      <c r="Q11" s="94"/>
    </row>
    <row r="12" spans="1:17" s="171" customFormat="1" ht="20">
      <c r="A12" s="122"/>
      <c r="C12" s="179"/>
      <c r="E12" s="502" t="s">
        <v>257</v>
      </c>
      <c r="F12" s="94"/>
      <c r="G12" s="94"/>
      <c r="H12" s="94"/>
      <c r="I12" s="94"/>
      <c r="J12" s="94"/>
      <c r="K12" s="94"/>
      <c r="L12" s="94"/>
      <c r="M12" s="94"/>
      <c r="N12" s="94"/>
      <c r="O12" s="94"/>
      <c r="P12" s="94"/>
      <c r="Q12" s="94"/>
    </row>
    <row r="13" spans="1:17" s="171" customFormat="1" ht="20">
      <c r="A13" s="122"/>
      <c r="C13" s="179"/>
      <c r="E13" s="92"/>
      <c r="F13" s="92"/>
      <c r="G13" s="92"/>
      <c r="H13" s="92"/>
      <c r="I13" s="92"/>
      <c r="J13" s="92"/>
      <c r="K13" s="92"/>
      <c r="L13" s="92"/>
      <c r="M13" s="92"/>
      <c r="N13" s="92"/>
      <c r="O13" s="92"/>
      <c r="P13" s="92"/>
      <c r="Q13" s="92"/>
    </row>
    <row r="14" spans="1:17" s="171" customFormat="1" ht="58" customHeight="1">
      <c r="A14" s="122"/>
      <c r="C14" s="179"/>
      <c r="E14" s="1377"/>
      <c r="F14" s="1377" t="s">
        <v>365</v>
      </c>
      <c r="G14" s="1377"/>
      <c r="H14" s="1377" t="s">
        <v>294</v>
      </c>
      <c r="I14" s="92"/>
      <c r="J14" s="92"/>
      <c r="K14" s="92"/>
      <c r="L14" s="92"/>
      <c r="M14" s="92"/>
      <c r="N14" s="92"/>
      <c r="O14" s="92"/>
      <c r="P14" s="92"/>
      <c r="Q14" s="92"/>
    </row>
    <row r="15" spans="1:17" s="171" customFormat="1" ht="20">
      <c r="A15" s="122"/>
      <c r="C15" s="179"/>
      <c r="E15" s="1377"/>
      <c r="F15" s="497" t="s">
        <v>114</v>
      </c>
      <c r="G15" s="497" t="s">
        <v>424</v>
      </c>
      <c r="H15" s="1377"/>
      <c r="I15" s="92"/>
      <c r="J15" s="92"/>
      <c r="K15" s="92"/>
      <c r="L15" s="92"/>
      <c r="M15" s="92"/>
      <c r="N15" s="92"/>
      <c r="O15" s="92"/>
      <c r="P15" s="92"/>
      <c r="Q15" s="92"/>
    </row>
    <row r="16" spans="1:17" s="171" customFormat="1" ht="40">
      <c r="A16" s="122"/>
      <c r="C16" s="179"/>
      <c r="E16" s="499" t="s">
        <v>253</v>
      </c>
      <c r="F16" s="500">
        <f>IFERROR(COUNTIFS(données[RETOUR DE CONGE MATERNITE/ADOPTION],"1",données[TYPE DE CONTRAT],"salarié"),0)</f>
        <v>25</v>
      </c>
      <c r="G16" s="500">
        <f>IFERROR(COUNTIFS(données[RETOUR DE CONGE MATERNITE/ADOPTION],"1",données[AUGMEN-TATION],"1",données[TYPE DE CONTRAT],"salarié"),0)</f>
        <v>5</v>
      </c>
      <c r="H16" s="501">
        <f>IF(G20=1, IF(AND(G16&gt;=0,G16&lt;=F16),G16/F16,"ERREUR")," ")</f>
        <v>0.2</v>
      </c>
      <c r="I16" s="92"/>
      <c r="J16" s="92"/>
      <c r="K16" s="92"/>
      <c r="L16" s="92"/>
      <c r="M16" s="92"/>
      <c r="N16" s="92"/>
      <c r="O16" s="92"/>
      <c r="P16" s="92"/>
      <c r="Q16" s="92"/>
    </row>
    <row r="17" spans="1:17" s="171" customFormat="1" ht="110" customHeight="1">
      <c r="A17" s="122"/>
      <c r="C17" s="179"/>
      <c r="E17" s="1383" t="s">
        <v>366</v>
      </c>
      <c r="F17" s="1384"/>
      <c r="G17" s="1384"/>
      <c r="H17" s="1384"/>
      <c r="I17" s="92"/>
      <c r="J17" s="92"/>
      <c r="K17" s="92"/>
      <c r="L17" s="92"/>
      <c r="M17" s="92"/>
      <c r="N17" s="92"/>
      <c r="O17" s="92"/>
      <c r="P17" s="92"/>
      <c r="Q17" s="92"/>
    </row>
    <row r="18" spans="1:17" s="171" customFormat="1" ht="46" customHeight="1">
      <c r="A18" s="122"/>
      <c r="C18" s="179"/>
      <c r="E18" s="1385" t="s">
        <v>423</v>
      </c>
      <c r="F18" s="1386"/>
      <c r="G18" s="1386"/>
      <c r="H18" s="1386"/>
      <c r="I18" s="92"/>
      <c r="J18" s="92"/>
      <c r="K18" s="92"/>
      <c r="L18" s="92"/>
      <c r="M18" s="92"/>
      <c r="N18" s="92"/>
      <c r="O18" s="92"/>
      <c r="P18" s="92"/>
      <c r="Q18" s="92"/>
    </row>
    <row r="19" spans="1:17" s="171" customFormat="1" ht="12" customHeight="1">
      <c r="A19" s="122"/>
      <c r="C19" s="179"/>
      <c r="E19" s="92"/>
      <c r="F19" s="92"/>
      <c r="G19" s="92"/>
      <c r="H19" s="92"/>
      <c r="I19" s="92"/>
      <c r="J19" s="92"/>
      <c r="K19" s="92"/>
      <c r="L19" s="92"/>
      <c r="M19" s="92"/>
      <c r="N19" s="92"/>
      <c r="O19" s="92"/>
      <c r="P19" s="92"/>
      <c r="Q19" s="92"/>
    </row>
    <row r="20" spans="1:17" s="171" customFormat="1" ht="20">
      <c r="A20" s="122"/>
      <c r="C20" s="179"/>
      <c r="E20" s="502" t="s">
        <v>254</v>
      </c>
      <c r="F20" s="90"/>
      <c r="G20" s="503">
        <f>IF(ISBLANK(F16),"#N/A",IF(F16&gt;0,1,0))</f>
        <v>1</v>
      </c>
      <c r="H20" s="91" t="str">
        <f>IF(G20=1,"Il y a eu au moins un retour de congé maternité avec augmentation pendant ce congé.",IF(G20=0,"Il n'y a pas eu de retour de congé maternité avec augmentation pendant ce congé."," "))</f>
        <v>Il y a eu au moins un retour de congé maternité avec augmentation pendant ce congé.</v>
      </c>
      <c r="I20" s="504"/>
      <c r="J20" s="90"/>
      <c r="K20" s="90"/>
      <c r="L20" s="90"/>
      <c r="M20" s="90"/>
      <c r="N20" s="90"/>
      <c r="O20" s="90"/>
      <c r="P20" s="90"/>
      <c r="Q20" s="90"/>
    </row>
    <row r="21" spans="1:17" s="171" customFormat="1" ht="55" customHeight="1">
      <c r="A21" s="122"/>
      <c r="C21" s="179"/>
      <c r="E21" s="1387" t="s">
        <v>295</v>
      </c>
      <c r="F21" s="1387"/>
      <c r="G21" s="505">
        <f>IF(G20=1,ABS(ROUND(100*H16,1)),IF(G20=0,"INCALCULABLE","#N/A"))</f>
        <v>20</v>
      </c>
      <c r="H21" s="506"/>
      <c r="I21" s="91"/>
      <c r="J21" s="90"/>
      <c r="K21" s="90"/>
      <c r="L21" s="90"/>
      <c r="M21" s="90"/>
      <c r="N21" s="90"/>
      <c r="O21" s="90"/>
      <c r="P21" s="90"/>
      <c r="Q21" s="90"/>
    </row>
    <row r="22" spans="1:17" s="171" customFormat="1" ht="40">
      <c r="A22" s="122"/>
      <c r="C22" s="179"/>
      <c r="E22" s="507" t="s">
        <v>293</v>
      </c>
      <c r="F22" s="508"/>
      <c r="G22" s="509">
        <f>VLOOKUP(G21,'Note INDEX'!I41:J42,2)</f>
        <v>0</v>
      </c>
      <c r="H22" s="1393" t="s">
        <v>533</v>
      </c>
      <c r="I22" s="1393"/>
      <c r="J22" s="1393"/>
      <c r="K22" s="1393"/>
      <c r="L22" s="1393"/>
      <c r="M22" s="1393"/>
      <c r="N22" s="1393"/>
      <c r="O22" s="1393"/>
      <c r="P22" s="1393"/>
      <c r="Q22" s="1393"/>
    </row>
    <row r="23" spans="1:17" s="171" customFormat="1" ht="11" customHeight="1">
      <c r="A23" s="122"/>
      <c r="C23" s="179"/>
    </row>
    <row r="24" spans="1:17" s="92" customFormat="1" ht="33" customHeight="1">
      <c r="A24" s="122"/>
      <c r="C24" s="178" t="s">
        <v>374</v>
      </c>
    </row>
    <row r="25" spans="1:17" s="92" customFormat="1" ht="26">
      <c r="A25" s="122"/>
      <c r="E25" s="337" t="s">
        <v>445</v>
      </c>
      <c r="F25" s="94"/>
      <c r="G25" s="94"/>
      <c r="H25" s="94"/>
      <c r="I25" s="94"/>
      <c r="J25" s="94"/>
      <c r="K25" s="94"/>
      <c r="L25" s="94"/>
      <c r="M25" s="94"/>
      <c r="N25" s="94"/>
      <c r="O25" s="94"/>
      <c r="P25" s="94"/>
      <c r="Q25" s="94"/>
    </row>
    <row r="26" spans="1:17" s="92" customFormat="1" ht="19">
      <c r="A26" s="122"/>
      <c r="E26" s="502" t="s">
        <v>257</v>
      </c>
      <c r="F26" s="510"/>
      <c r="G26" s="510"/>
      <c r="H26" s="510"/>
      <c r="I26" s="94"/>
      <c r="J26" s="94"/>
      <c r="K26" s="94"/>
      <c r="L26" s="94"/>
      <c r="M26" s="94"/>
      <c r="N26" s="94"/>
      <c r="O26" s="94"/>
      <c r="P26" s="94"/>
      <c r="Q26" s="94"/>
    </row>
    <row r="27" spans="1:17" s="92" customFormat="1" ht="18">
      <c r="A27" s="122"/>
      <c r="E27" s="90"/>
      <c r="F27" s="90"/>
      <c r="G27" s="90"/>
      <c r="H27" s="90"/>
    </row>
    <row r="28" spans="1:17" s="92" customFormat="1" ht="60" customHeight="1">
      <c r="A28" s="122"/>
      <c r="E28" s="1388"/>
      <c r="F28" s="1388" t="s">
        <v>425</v>
      </c>
      <c r="G28" s="1388"/>
      <c r="H28" s="1388" t="s">
        <v>294</v>
      </c>
    </row>
    <row r="29" spans="1:17" s="92" customFormat="1" ht="56" customHeight="1">
      <c r="A29" s="122"/>
      <c r="E29" s="1388"/>
      <c r="F29" s="105" t="s">
        <v>114</v>
      </c>
      <c r="G29" s="105" t="s">
        <v>426</v>
      </c>
      <c r="H29" s="1388"/>
    </row>
    <row r="30" spans="1:17" s="92" customFormat="1" ht="36" customHeight="1">
      <c r="A30" s="122"/>
      <c r="E30" s="95" t="s">
        <v>253</v>
      </c>
      <c r="F30" s="231">
        <f>IFERROR(COUNTIFS(données[RETOUR DE CONGE MATERNITE/ADOPTION],"1",données[TYPE DE CONTRAT],"salarié"),0)</f>
        <v>25</v>
      </c>
      <c r="G30" s="231">
        <f>IFERROR(COUNTIFS(données[RETOUR DE CONGE MATERNITE/ADOPTION],"1",données[AUGMEN-TATION],"1",données[TYPE DE CONTRAT],"salarié"),0)</f>
        <v>5</v>
      </c>
      <c r="H30" s="106">
        <f>IF(G34=1, IF(AND(G30&gt;=0,G30&lt;=F30),G30/F30,"ERREUR")," ")</f>
        <v>0.2</v>
      </c>
    </row>
    <row r="31" spans="1:17" s="92" customFormat="1" ht="90" customHeight="1">
      <c r="A31" s="122"/>
      <c r="E31" s="1389" t="s">
        <v>366</v>
      </c>
      <c r="F31" s="1390"/>
      <c r="G31" s="1390"/>
      <c r="H31" s="1390"/>
    </row>
    <row r="32" spans="1:17" s="92" customFormat="1" ht="40" customHeight="1">
      <c r="A32" s="122"/>
      <c r="E32" s="1385" t="s">
        <v>423</v>
      </c>
      <c r="F32" s="1386"/>
      <c r="G32" s="1386"/>
      <c r="H32" s="1386"/>
    </row>
    <row r="33" spans="1:17" s="92" customFormat="1" ht="16">
      <c r="A33" s="122"/>
    </row>
    <row r="34" spans="1:17" s="92" customFormat="1" ht="16">
      <c r="A34" s="122"/>
      <c r="E34" s="93" t="s">
        <v>254</v>
      </c>
      <c r="G34" s="107">
        <f>IF(ISBLANK(F30),"#N/A",IF(F30&gt;0,1,0))</f>
        <v>1</v>
      </c>
      <c r="H34" s="102" t="str">
        <f>IF(G34=1,"Il y a eu au moins un retour de congé maternité avec augmentation pendant ce congé.",IF(G34=0,"Il n'y a pas eu de retour de congé maternité avec augmentation pendant ce congé."," "))</f>
        <v>Il y a eu au moins un retour de congé maternité avec augmentation pendant ce congé.</v>
      </c>
      <c r="I34" s="103"/>
    </row>
    <row r="35" spans="1:17" s="92" customFormat="1" ht="16">
      <c r="A35" s="122"/>
      <c r="E35" s="1391" t="s">
        <v>295</v>
      </c>
      <c r="F35" s="1391"/>
      <c r="G35" s="108">
        <f>IF(G34=1,ABS(ROUND(100*H30,1)),IF(G34=0,"INCALCULABLE","#N/A"))</f>
        <v>20</v>
      </c>
      <c r="H35" s="109"/>
      <c r="I35" s="102"/>
    </row>
    <row r="36" spans="1:17" s="92" customFormat="1" ht="17">
      <c r="A36" s="122"/>
      <c r="E36" s="110" t="s">
        <v>293</v>
      </c>
      <c r="F36" s="111"/>
      <c r="G36" s="112">
        <f>VLOOKUP(G35,'Note INDEX'!L68:M69,2)</f>
        <v>0</v>
      </c>
      <c r="H36" s="1392" t="s">
        <v>532</v>
      </c>
      <c r="I36" s="1392"/>
      <c r="J36" s="1392"/>
      <c r="K36" s="1392"/>
      <c r="L36" s="1392"/>
      <c r="M36" s="1392"/>
      <c r="N36" s="1392"/>
      <c r="O36" s="1392"/>
      <c r="P36" s="1392"/>
      <c r="Q36" s="1392"/>
    </row>
    <row r="37" spans="1:17" s="92" customFormat="1" ht="16">
      <c r="A37" s="122"/>
    </row>
    <row r="41" spans="1:17" ht="95" customHeight="1">
      <c r="E41" s="1350" t="s">
        <v>472</v>
      </c>
      <c r="F41" s="1351"/>
      <c r="G41" s="1352"/>
      <c r="H41" s="1198" t="s">
        <v>477</v>
      </c>
      <c r="I41" s="1199"/>
      <c r="J41" s="1200"/>
      <c r="K41" s="236"/>
      <c r="L41" s="236"/>
      <c r="M41" s="236"/>
    </row>
    <row r="42" spans="1:17" ht="102" customHeight="1">
      <c r="E42" s="1350" t="s">
        <v>473</v>
      </c>
      <c r="F42" s="1351"/>
      <c r="G42" s="1352"/>
      <c r="H42" s="1191" t="s">
        <v>478</v>
      </c>
      <c r="I42" s="1196"/>
      <c r="J42" s="1197"/>
      <c r="K42" s="236"/>
      <c r="L42" s="236"/>
      <c r="M42" s="236"/>
    </row>
  </sheetData>
  <mergeCells count="18">
    <mergeCell ref="E41:G41"/>
    <mergeCell ref="E42:G42"/>
    <mergeCell ref="C6:O6"/>
    <mergeCell ref="E28:E29"/>
    <mergeCell ref="F28:G28"/>
    <mergeCell ref="H28:H29"/>
    <mergeCell ref="E31:H31"/>
    <mergeCell ref="E35:F35"/>
    <mergeCell ref="H36:Q36"/>
    <mergeCell ref="E32:H32"/>
    <mergeCell ref="H22:Q22"/>
    <mergeCell ref="E14:E15"/>
    <mergeCell ref="F14:G14"/>
    <mergeCell ref="H14:H15"/>
    <mergeCell ref="E17:H17"/>
    <mergeCell ref="E18:H18"/>
    <mergeCell ref="E21:F21"/>
    <mergeCell ref="I1:J1"/>
  </mergeCells>
  <hyperlinks>
    <hyperlink ref="C3" location="'Sommaire Outil'!A1" display="retour sommaire" xr:uid="{00000000-0004-0000-0A00-000000000000}"/>
    <hyperlink ref="I1" location="'Bilan EGALIZ'!A1" display="BILAN EGALIZ" xr:uid="{27D6188A-F46D-2F47-AE2D-7E76AAEFA342}"/>
    <hyperlink ref="I1:J1" location="DIAGNOSTIC!A1" display="BILAN EGALIZ" xr:uid="{24C326BC-6F9A-7D44-BCFC-5E132CB34814}"/>
    <hyperlink ref="D1" location="SOMMAIRE!A1" display="SOMMAIRE" xr:uid="{FAAAFB8B-BB5A-934C-815B-EE21CE5DD20B}"/>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8">
    <tabColor rgb="FFFF2F92"/>
  </sheetPr>
  <dimension ref="A1:R31"/>
  <sheetViews>
    <sheetView showGridLines="0" workbookViewId="0">
      <selection activeCell="D1" sqref="D1"/>
    </sheetView>
  </sheetViews>
  <sheetFormatPr baseColWidth="10" defaultRowHeight="13"/>
  <cols>
    <col min="1" max="1" width="7.6640625" style="119" customWidth="1"/>
    <col min="3" max="3" width="29.1640625" customWidth="1"/>
    <col min="4" max="4" width="16.1640625" customWidth="1"/>
    <col min="5" max="5" width="20.5" customWidth="1"/>
    <col min="6" max="6" width="33.1640625" customWidth="1"/>
    <col min="7" max="7" width="20.6640625" customWidth="1"/>
    <col min="8" max="8" width="11" customWidth="1"/>
    <col min="9" max="9" width="25.6640625" customWidth="1"/>
  </cols>
  <sheetData>
    <row r="1" spans="1:18" s="119" customFormat="1" ht="50" customHeight="1">
      <c r="A1" s="118"/>
      <c r="D1" s="1165" t="s">
        <v>980</v>
      </c>
      <c r="N1" s="1286" t="s">
        <v>382</v>
      </c>
      <c r="O1" s="1286"/>
    </row>
    <row r="2" spans="1:18" ht="50" customHeight="1">
      <c r="C2" s="75"/>
    </row>
    <row r="3" spans="1:18" ht="24" customHeight="1">
      <c r="C3" s="442" t="s">
        <v>239</v>
      </c>
    </row>
    <row r="4" spans="1:18" s="51" customFormat="1" ht="40.5" customHeight="1">
      <c r="A4" s="119"/>
      <c r="C4" s="207"/>
      <c r="P4" s="345"/>
    </row>
    <row r="5" spans="1:18" ht="21" customHeight="1"/>
    <row r="6" spans="1:18" ht="21" customHeight="1">
      <c r="C6" s="232" t="s">
        <v>553</v>
      </c>
      <c r="M6" s="567">
        <v>10</v>
      </c>
    </row>
    <row r="7" spans="1:18" ht="16.5" customHeight="1"/>
    <row r="9" spans="1:18" s="92" customFormat="1" ht="29" customHeight="1">
      <c r="A9" s="122"/>
      <c r="C9" s="178" t="s">
        <v>351</v>
      </c>
      <c r="E9" s="230" t="s">
        <v>390</v>
      </c>
    </row>
    <row r="10" spans="1:18" s="171" customFormat="1" ht="20">
      <c r="A10" s="122"/>
      <c r="C10" s="179"/>
    </row>
    <row r="11" spans="1:18" s="8" customFormat="1" ht="27" customHeight="1">
      <c r="A11" s="119"/>
      <c r="B11" s="177"/>
      <c r="C11" s="241" t="s">
        <v>374</v>
      </c>
      <c r="D11" s="177"/>
      <c r="E11" s="192"/>
      <c r="F11" s="177"/>
      <c r="G11" s="177"/>
      <c r="H11" s="177"/>
      <c r="I11" s="14"/>
      <c r="J11" s="14"/>
      <c r="Q11" s="117"/>
      <c r="R11" s="117"/>
    </row>
    <row r="12" spans="1:18" s="171" customFormat="1" ht="20">
      <c r="A12" s="122"/>
      <c r="C12" s="179"/>
    </row>
    <row r="13" spans="1:18" s="171" customFormat="1" ht="20">
      <c r="A13" s="122"/>
      <c r="C13" s="179"/>
      <c r="E13" s="93" t="s">
        <v>257</v>
      </c>
      <c r="F13" s="94"/>
      <c r="G13" s="94"/>
      <c r="H13" s="94"/>
      <c r="I13" s="94"/>
      <c r="J13" s="94"/>
      <c r="K13" s="94"/>
      <c r="L13" s="94"/>
      <c r="M13" s="94"/>
      <c r="N13" s="94"/>
    </row>
    <row r="14" spans="1:18" s="171" customFormat="1" ht="16" customHeight="1">
      <c r="A14" s="122"/>
      <c r="C14" s="179"/>
      <c r="E14" s="92"/>
      <c r="F14" s="92"/>
      <c r="G14" s="92"/>
      <c r="H14" s="92"/>
      <c r="I14" s="92"/>
      <c r="J14" s="92"/>
      <c r="K14" s="92"/>
      <c r="L14" s="92"/>
      <c r="M14" s="92"/>
      <c r="N14" s="92"/>
    </row>
    <row r="15" spans="1:18" s="171" customFormat="1" ht="56" customHeight="1">
      <c r="A15" s="122"/>
      <c r="C15" s="179"/>
      <c r="E15" s="1388"/>
      <c r="F15" s="1394" t="s">
        <v>554</v>
      </c>
      <c r="G15" s="1395"/>
      <c r="H15" s="1396"/>
      <c r="I15" s="1388" t="s">
        <v>296</v>
      </c>
      <c r="J15" s="92"/>
      <c r="K15" s="92"/>
      <c r="L15" s="92"/>
      <c r="M15" s="92"/>
      <c r="N15" s="92"/>
    </row>
    <row r="16" spans="1:18" s="171" customFormat="1" ht="20">
      <c r="A16" s="122"/>
      <c r="C16" s="179"/>
      <c r="E16" s="1388"/>
      <c r="F16" s="183" t="s">
        <v>248</v>
      </c>
      <c r="G16" s="183" t="s">
        <v>249</v>
      </c>
      <c r="H16" s="183" t="s">
        <v>297</v>
      </c>
      <c r="I16" s="1388"/>
      <c r="J16" s="92"/>
      <c r="K16" s="92"/>
      <c r="L16" s="92"/>
      <c r="M16" s="92"/>
      <c r="N16" s="92"/>
    </row>
    <row r="17" spans="1:16" s="171" customFormat="1" ht="33" customHeight="1">
      <c r="A17" s="122"/>
      <c r="C17" s="179"/>
      <c r="E17" s="1398" t="s">
        <v>555</v>
      </c>
      <c r="F17" s="641">
        <f>COUNTIFS(données[SEXE],"F",données[REMUNERATION],"&gt;="&amp;LARGE(données[REMUNERATION],M6))</f>
        <v>2</v>
      </c>
      <c r="G17" s="641">
        <f>COUNTIFS(données[SEXE],"H",données[REMUNERATION],"&gt;="&amp;LARGE(données[REMUNERATION],M6))</f>
        <v>8</v>
      </c>
      <c r="H17" s="565">
        <f>F17+G17</f>
        <v>10</v>
      </c>
      <c r="I17" s="1400">
        <f>IF(H17=$M$6,MIN(F17,G17),"TOTAL différent de "&amp;$M$6)</f>
        <v>2</v>
      </c>
      <c r="J17" s="92"/>
      <c r="K17" s="642" t="str">
        <f>IF(H17&gt;M6,"Total supérieur à  "&amp;M6&amp;" dû au fait que de nombreux salariés ont un salaire égal au rang choisi  de  "&amp;LARGE(DONNEES!T15:T334,10),"")</f>
        <v/>
      </c>
      <c r="L17" s="92"/>
      <c r="M17" s="92"/>
      <c r="N17" s="92"/>
    </row>
    <row r="18" spans="1:16" s="171" customFormat="1" ht="24" customHeight="1">
      <c r="A18" s="122"/>
      <c r="C18" s="179"/>
      <c r="E18" s="1398"/>
      <c r="F18" s="563">
        <f>F17/$H$17</f>
        <v>0.2</v>
      </c>
      <c r="G18" s="563">
        <f>G17/$H$17</f>
        <v>0.8</v>
      </c>
      <c r="H18" s="566"/>
      <c r="I18" s="1401"/>
      <c r="J18" s="92"/>
      <c r="K18" s="562"/>
      <c r="L18" s="92"/>
      <c r="M18" s="92"/>
      <c r="N18" s="92"/>
    </row>
    <row r="19" spans="1:16" s="171" customFormat="1" ht="34" customHeight="1">
      <c r="A19" s="122"/>
      <c r="C19" s="179"/>
      <c r="E19" s="1399" t="s">
        <v>556</v>
      </c>
      <c r="F19" s="643">
        <f>COUNTIFS(données[SEXE],"F",données[REMUNERATION],"&lt;="&amp;SMALL(données[REMUNERATION],M6))</f>
        <v>7</v>
      </c>
      <c r="G19" s="626">
        <f>COUNTIFS(données[SEXE],"H",données[REMUNERATION],"&lt;="&amp;SMALL(données[REMUNERATION],M6))</f>
        <v>8</v>
      </c>
      <c r="H19" s="184">
        <f>F19+G19</f>
        <v>15</v>
      </c>
      <c r="I19" s="864"/>
      <c r="J19" s="92"/>
      <c r="K19" s="562"/>
      <c r="L19" s="564"/>
      <c r="M19" s="92"/>
      <c r="N19" s="92"/>
    </row>
    <row r="20" spans="1:16" s="171" customFormat="1" ht="25" customHeight="1">
      <c r="A20" s="122"/>
      <c r="C20" s="179"/>
      <c r="E20" s="1399"/>
      <c r="F20" s="627">
        <f>F19/$H$19</f>
        <v>0.46666666666666667</v>
      </c>
      <c r="G20" s="627">
        <f>G19/$H$19</f>
        <v>0.53333333333333333</v>
      </c>
      <c r="H20" s="184"/>
      <c r="I20" s="865"/>
      <c r="J20" s="92"/>
      <c r="K20" s="562"/>
      <c r="L20" s="92"/>
      <c r="M20" s="92"/>
      <c r="N20" s="92"/>
    </row>
    <row r="21" spans="1:16" s="171" customFormat="1" ht="32" customHeight="1">
      <c r="A21" s="122"/>
      <c r="C21" s="179"/>
      <c r="E21" s="96" t="s">
        <v>298</v>
      </c>
      <c r="F21" s="97"/>
      <c r="G21" s="97"/>
      <c r="H21" s="97"/>
      <c r="I21" s="98"/>
      <c r="J21" s="92"/>
      <c r="K21" s="92"/>
      <c r="L21" s="92"/>
      <c r="M21" s="92"/>
      <c r="N21" s="92"/>
    </row>
    <row r="22" spans="1:16" s="171" customFormat="1" ht="20">
      <c r="A22" s="122"/>
      <c r="C22" s="179"/>
      <c r="E22" s="92"/>
      <c r="F22" s="92"/>
      <c r="G22" s="92"/>
      <c r="H22" s="92"/>
      <c r="I22" s="92"/>
      <c r="J22" s="92"/>
      <c r="K22" s="92"/>
      <c r="L22" s="92"/>
      <c r="M22" s="92"/>
      <c r="N22" s="92"/>
    </row>
    <row r="23" spans="1:16" s="171" customFormat="1" ht="35" customHeight="1">
      <c r="A23" s="122"/>
      <c r="C23" s="179"/>
      <c r="E23" s="1391" t="s">
        <v>299</v>
      </c>
      <c r="F23" s="1397"/>
      <c r="G23" s="113">
        <f>I17</f>
        <v>2</v>
      </c>
      <c r="H23" s="102" t="str">
        <f>IF(H17=10,IF(F17&gt;G17,"Les hommes sont sous-représentés parmi les salariés les mieux rémunérés.",IF(G17&gt;F17,"Les femmes sont sous-représentées parmi les salariés les mieux rémunérés.","Les hommes et les femmes sont à parité parmi les salariés les mieux rémunérés."))," ")</f>
        <v>Les femmes sont sous-représentées parmi les salariés les mieux rémunérés.</v>
      </c>
      <c r="I23" s="92"/>
      <c r="J23" s="92"/>
      <c r="K23" s="92"/>
      <c r="L23" s="92"/>
      <c r="M23" s="92"/>
      <c r="N23" s="92"/>
    </row>
    <row r="24" spans="1:16" s="171" customFormat="1" ht="20">
      <c r="A24" s="122"/>
      <c r="C24" s="179"/>
      <c r="E24" s="93" t="s">
        <v>300</v>
      </c>
      <c r="F24" s="92"/>
      <c r="G24" s="114">
        <f>VLOOKUP(G23,'Note INDEX'!L41:M43,2)</f>
        <v>5</v>
      </c>
      <c r="H24" s="92"/>
      <c r="I24" s="92"/>
      <c r="J24" s="92"/>
      <c r="K24" s="92"/>
      <c r="L24" s="92"/>
      <c r="M24" s="92"/>
      <c r="N24" s="92"/>
    </row>
    <row r="25" spans="1:16" s="92" customFormat="1" ht="16">
      <c r="A25" s="122"/>
    </row>
    <row r="26" spans="1:16" s="92" customFormat="1" ht="16">
      <c r="A26" s="122"/>
    </row>
    <row r="30" spans="1:16" ht="96" customHeight="1">
      <c r="E30" s="1363" t="s">
        <v>472</v>
      </c>
      <c r="F30" s="1364"/>
      <c r="G30" s="1365"/>
      <c r="H30" s="1198" t="s">
        <v>477</v>
      </c>
      <c r="I30" s="1203"/>
      <c r="J30" s="1203"/>
      <c r="K30" s="1203"/>
      <c r="L30" s="1203"/>
      <c r="M30" s="1203"/>
      <c r="N30" s="1203"/>
      <c r="O30" s="1203"/>
      <c r="P30" s="1204"/>
    </row>
    <row r="31" spans="1:16" ht="113" customHeight="1">
      <c r="E31" s="1363" t="s">
        <v>473</v>
      </c>
      <c r="F31" s="1364"/>
      <c r="G31" s="1365"/>
      <c r="H31" s="1191" t="s">
        <v>478</v>
      </c>
      <c r="I31" s="1201"/>
      <c r="J31" s="1201"/>
      <c r="K31" s="1201"/>
      <c r="L31" s="1201"/>
      <c r="M31" s="1201"/>
      <c r="N31" s="1201"/>
      <c r="O31" s="1201"/>
      <c r="P31" s="1202"/>
    </row>
  </sheetData>
  <mergeCells count="10">
    <mergeCell ref="N1:O1"/>
    <mergeCell ref="E30:G30"/>
    <mergeCell ref="E31:G31"/>
    <mergeCell ref="E15:E16"/>
    <mergeCell ref="F15:H15"/>
    <mergeCell ref="I15:I16"/>
    <mergeCell ref="E23:F23"/>
    <mergeCell ref="E17:E18"/>
    <mergeCell ref="E19:E20"/>
    <mergeCell ref="I17:I18"/>
  </mergeCells>
  <dataValidations count="1">
    <dataValidation type="whole" allowBlank="1" showInputMessage="1" showErrorMessage="1" error="Nombre entier imposé" prompt="Légalement..." sqref="M6" xr:uid="{4FCB3B8B-E44B-344C-A301-AABFE01A8C30}">
      <formula1>1</formula1>
      <formula2>10000</formula2>
    </dataValidation>
  </dataValidations>
  <hyperlinks>
    <hyperlink ref="C3" location="'Sommaire Outil'!A1" display="retour sommaire" xr:uid="{00000000-0004-0000-0B00-000000000000}"/>
    <hyperlink ref="N1" location="'Bilan EGALIZ'!A1" display="BILAN EGALIZ" xr:uid="{C61B790D-F1F9-E548-AAB9-2BF1531B9CB9}"/>
    <hyperlink ref="N1:O1" location="DIAGNOSTIC!A1" display="BILAN EGALIZ" xr:uid="{B4A6FA89-3068-1341-BE13-289831438FCC}"/>
    <hyperlink ref="D1" location="SOMMAIRE!A1" display="SOMMAIRE" xr:uid="{7C6A7E40-5B63-8648-9A1B-580331FA67AF}"/>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Mon Document Anact" ma:contentTypeID="0x0101003B434280B7F2C44A878EE940E3DA649C00261DF614F2E0DA4F9F8EFFC728D558B400882984E3F4BAFF45A5EB0C79278FF295" ma:contentTypeVersion="0" ma:contentTypeDescription="" ma:contentTypeScope="" ma:versionID="15aa32f421f68ef2d3e99d8cd5b83333">
  <xsd:schema xmlns:xsd="http://www.w3.org/2001/XMLSchema" xmlns:xs="http://www.w3.org/2001/XMLSchema" xmlns:p="http://schemas.microsoft.com/office/2006/metadata/properties" xmlns:ns2="b51c6c7b-b17c-4de8-8788-3a93de17e69b" targetNamespace="http://schemas.microsoft.com/office/2006/metadata/properties" ma:root="true" ma:fieldsID="3d9d0473513d23dab503a4abed023050" ns2:_="">
    <xsd:import namespace="b51c6c7b-b17c-4de8-8788-3a93de17e69b"/>
    <xsd:element name="properties">
      <xsd:complexType>
        <xsd:sequence>
          <xsd:element name="documentManagement">
            <xsd:complexType>
              <xsd:all>
                <xsd:element ref="ns2:c3372a7c623e4427b5e21cf6f237b28f" minOccurs="0"/>
                <xsd:element ref="ns2:TaxCatchAll" minOccurs="0"/>
                <xsd:element ref="ns2:TaxCatchAllLabel" minOccurs="0"/>
                <xsd:element ref="ns2:g8929b400e294aeeb187f56d1496251c" minOccurs="0"/>
                <xsd:element ref="ns2:f85c5fa148c04ca6a7805ccda99a7af3" minOccurs="0"/>
                <xsd:element ref="ns2:Document_x0020_de_x0020_référ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1c6c7b-b17c-4de8-8788-3a93de17e69b" elementFormDefault="qualified">
    <xsd:import namespace="http://schemas.microsoft.com/office/2006/documentManagement/types"/>
    <xsd:import namespace="http://schemas.microsoft.com/office/infopath/2007/PartnerControls"/>
    <xsd:element name="c3372a7c623e4427b5e21cf6f237b28f" ma:index="8" ma:taxonomy="true" ma:internalName="c3372a7c623e4427b5e21cf6f237b28f" ma:taxonomyFieldName="Structure_x002F_D_x00e9_partement" ma:displayName="Structure/Département" ma:default="" ma:fieldId="{c3372a7c-623e-4427-b5e2-1cf6f237b28f}" ma:sspId="10c354d3-1267-4eff-b669-10bdc1459010" ma:termSetId="a5b07e40-2385-47d3-b1c2-907d463b7f5a" ma:anchorId="00000000-0000-0000-0000-000000000000" ma:open="false" ma:isKeyword="false">
      <xsd:complexType>
        <xsd:sequence>
          <xsd:element ref="pc:Terms" minOccurs="0" maxOccurs="1"/>
        </xsd:sequence>
      </xsd:complexType>
    </xsd:element>
    <xsd:element name="TaxCatchAll" ma:index="9" nillable="true" ma:displayName="Colonne Attraper tout de Taxonomie" ma:hidden="true" ma:list="{57fd4316-64c0-4aa8-9ed2-b0dc4cca8629}" ma:internalName="TaxCatchAll" ma:showField="CatchAllData" ma:web="3b4f3964-d7ad-4293-9ff6-6c872ef2ddb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Colonne Attraper tout de Taxonomie1" ma:hidden="true" ma:list="{57fd4316-64c0-4aa8-9ed2-b0dc4cca8629}" ma:internalName="TaxCatchAllLabel" ma:readOnly="true" ma:showField="CatchAllDataLabel" ma:web="3b4f3964-d7ad-4293-9ff6-6c872ef2ddba">
      <xsd:complexType>
        <xsd:complexContent>
          <xsd:extension base="dms:MultiChoiceLookup">
            <xsd:sequence>
              <xsd:element name="Value" type="dms:Lookup" maxOccurs="unbounded" minOccurs="0" nillable="true"/>
            </xsd:sequence>
          </xsd:extension>
        </xsd:complexContent>
      </xsd:complexType>
    </xsd:element>
    <xsd:element name="g8929b400e294aeeb187f56d1496251c" ma:index="12" ma:taxonomy="true" ma:internalName="g8929b400e294aeeb187f56d1496251c" ma:taxonomyFieldName="Procesus" ma:displayName="Processus" ma:default="" ma:fieldId="{08929b40-0e29-4aee-b187-f56d1496251c}" ma:sspId="10c354d3-1267-4eff-b669-10bdc1459010" ma:termSetId="a3497f0b-36ab-4178-9e55-5681d0bcb7ed" ma:anchorId="00000000-0000-0000-0000-000000000000" ma:open="false" ma:isKeyword="false">
      <xsd:complexType>
        <xsd:sequence>
          <xsd:element ref="pc:Terms" minOccurs="0" maxOccurs="1"/>
        </xsd:sequence>
      </xsd:complexType>
    </xsd:element>
    <xsd:element name="f85c5fa148c04ca6a7805ccda99a7af3" ma:index="14" ma:taxonomy="true" ma:internalName="f85c5fa148c04ca6a7805ccda99a7af3" ma:taxonomyFieldName="Th_x00e8_me" ma:displayName="Thème" ma:default="" ma:fieldId="{f85c5fa1-48c0-4ca6-a780-5ccda99a7af3}" ma:taxonomyMulti="true" ma:sspId="10c354d3-1267-4eff-b669-10bdc1459010" ma:termSetId="77573941-93e2-4fbd-ae9d-b0bdc48535fc" ma:anchorId="00000000-0000-0000-0000-000000000000" ma:open="false" ma:isKeyword="false">
      <xsd:complexType>
        <xsd:sequence>
          <xsd:element ref="pc:Terms" minOccurs="0" maxOccurs="1"/>
        </xsd:sequence>
      </xsd:complexType>
    </xsd:element>
    <xsd:element name="Document_x0020_de_x0020_référence" ma:index="16" nillable="true" ma:displayName="Document de référence" ma:default="Non" ma:format="Dropdown" ma:internalName="Document_x0020_de_x0020_r_x00e9_f_x00e9_rence">
      <xsd:simpleType>
        <xsd:restriction base="dms:Choice">
          <xsd:enumeration value="Oui"/>
          <xsd:enumeration value="N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f85c5fa148c04ca6a7805ccda99a7af3 xmlns="b51c6c7b-b17c-4de8-8788-3a93de17e69b">
      <Terms xmlns="http://schemas.microsoft.com/office/infopath/2007/PartnerControls">
        <TermInfo xmlns="http://schemas.microsoft.com/office/infopath/2007/PartnerControls">
          <TermName xmlns="http://schemas.microsoft.com/office/infopath/2007/PartnerControls">DIALOGUE SOCIAL</TermName>
          <TermId xmlns="http://schemas.microsoft.com/office/infopath/2007/PartnerControls">a1ab1d69-30b4-4c07-861c-a0b06fc13d09</TermId>
        </TermInfo>
        <TermInfo xmlns="http://schemas.microsoft.com/office/infopath/2007/PartnerControls">
          <TermName xmlns="http://schemas.microsoft.com/office/infopath/2007/PartnerControls">Egalité professionnelle</TermName>
          <TermId xmlns="http://schemas.microsoft.com/office/infopath/2007/PartnerControls">d7147f0e-95e0-491e-a7fd-4686711cc62d</TermId>
        </TermInfo>
      </Terms>
    </f85c5fa148c04ca6a7805ccda99a7af3>
    <c3372a7c623e4427b5e21cf6f237b28f xmlns="b51c6c7b-b17c-4de8-8788-3a93de17e69b">
      <Terms xmlns="http://schemas.microsoft.com/office/infopath/2007/PartnerControls">
        <TermInfo xmlns="http://schemas.microsoft.com/office/infopath/2007/PartnerControls">
          <TermName xmlns="http://schemas.microsoft.com/office/infopath/2007/PartnerControls">Département EXPE</TermName>
          <TermId xmlns="http://schemas.microsoft.com/office/infopath/2007/PartnerControls">4c4fe0b5-2d14-4470-9571-cfa3edef4fa5</TermId>
        </TermInfo>
      </Terms>
    </c3372a7c623e4427b5e21cf6f237b28f>
    <Document_x0020_de_x0020_référence xmlns="b51c6c7b-b17c-4de8-8788-3a93de17e69b">Non</Document_x0020_de_x0020_référence>
    <g8929b400e294aeeb187f56d1496251c xmlns="b51c6c7b-b17c-4de8-8788-3a93de17e69b">
      <Terms xmlns="http://schemas.microsoft.com/office/infopath/2007/PartnerControls">
        <TermInfo xmlns="http://schemas.microsoft.com/office/infopath/2007/PartnerControls">
          <TermName xmlns="http://schemas.microsoft.com/office/infopath/2007/PartnerControls">Processus production</TermName>
          <TermId xmlns="http://schemas.microsoft.com/office/infopath/2007/PartnerControls">c5592657-9f1c-49d8-b99e-6532a8be91ca</TermId>
        </TermInfo>
      </Terms>
    </g8929b400e294aeeb187f56d1496251c>
    <TaxCatchAll xmlns="b51c6c7b-b17c-4de8-8788-3a93de17e69b">
      <Value>244</Value>
      <Value>110</Value>
      <Value>30</Value>
      <Value>91</Value>
    </TaxCatchAll>
  </documentManagement>
</p:properties>
</file>

<file path=customXml/item4.xml><?xml version="1.0" encoding="utf-8"?>
<?mso-contentType ?>
<SharedContentType xmlns="Microsoft.SharePoint.Taxonomy.ContentTypeSync" SourceId="10c354d3-1267-4eff-b669-10bdc1459010" ContentTypeId="0x0101003B434280B7F2C44A878EE940E3DA649C00261DF614F2E0DA4F9F8EFFC728D558B4"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9BB2BD-8794-E040-8B5C-F08787563B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1c6c7b-b17c-4de8-8788-3a93de17e6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78247A-0318-984E-BD79-E7AD935DC896}">
  <ds:schemaRefs>
    <ds:schemaRef ds:uri="http://schemas.microsoft.com/office/2006/metadata/longProperties"/>
  </ds:schemaRefs>
</ds:datastoreItem>
</file>

<file path=customXml/itemProps3.xml><?xml version="1.0" encoding="utf-8"?>
<ds:datastoreItem xmlns:ds="http://schemas.openxmlformats.org/officeDocument/2006/customXml" ds:itemID="{3F8F0AB9-DFF7-440A-9DF1-05B0C6DFEA55}">
  <ds:schemaRefs>
    <ds:schemaRef ds:uri="http://www.w3.org/XML/1998/namespace"/>
    <ds:schemaRef ds:uri="http://schemas.microsoft.com/office/infopath/2007/PartnerControls"/>
    <ds:schemaRef ds:uri="b51c6c7b-b17c-4de8-8788-3a93de17e69b"/>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purl.org/dc/terms/"/>
    <ds:schemaRef ds:uri="http://purl.org/dc/dcmitype/"/>
  </ds:schemaRefs>
</ds:datastoreItem>
</file>

<file path=customXml/itemProps4.xml><?xml version="1.0" encoding="utf-8"?>
<ds:datastoreItem xmlns:ds="http://schemas.openxmlformats.org/officeDocument/2006/customXml" ds:itemID="{CB62D6EA-1F3A-FC4D-B705-8FBFBDFE6CD7}">
  <ds:schemaRefs>
    <ds:schemaRef ds:uri="Microsoft.SharePoint.Taxonomy.ContentTypeSync"/>
  </ds:schemaRefs>
</ds:datastoreItem>
</file>

<file path=customXml/itemProps5.xml><?xml version="1.0" encoding="utf-8"?>
<ds:datastoreItem xmlns:ds="http://schemas.openxmlformats.org/officeDocument/2006/customXml" ds:itemID="{5E7C6AFA-055C-9E49-8850-130C6A4685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18</vt:i4>
      </vt:variant>
      <vt:variant>
        <vt:lpstr>Plages nommées</vt:lpstr>
      </vt:variant>
      <vt:variant>
        <vt:i4>9</vt:i4>
      </vt:variant>
    </vt:vector>
  </HeadingPairs>
  <TitlesOfParts>
    <vt:vector size="27" baseType="lpstr">
      <vt:lpstr>EN BREF</vt:lpstr>
      <vt:lpstr>SOMMAIRE</vt:lpstr>
      <vt:lpstr>DONNEES</vt:lpstr>
      <vt:lpstr>Paramètres</vt:lpstr>
      <vt:lpstr>INDIC. 1 Ecart Rémunération</vt:lpstr>
      <vt:lpstr>INDIC.2 Ecart Tx Augmentation</vt:lpstr>
      <vt:lpstr>INDIC.3 Ecart Tx Promotion</vt:lpstr>
      <vt:lpstr>INDIC.3 ou 4 A Maternité</vt:lpstr>
      <vt:lpstr>INDIC.4 ou 5 10+ Hautes Rému</vt:lpstr>
      <vt:lpstr>Note INDEX</vt:lpstr>
      <vt:lpstr>MIXITE</vt:lpstr>
      <vt:lpstr>PARCOURS</vt:lpstr>
      <vt:lpstr>CONDITIONS TRAVAIL</vt:lpstr>
      <vt:lpstr>ARTICULATION TEMPS</vt:lpstr>
      <vt:lpstr>PRONOSTIC</vt:lpstr>
      <vt:lpstr>DIAGNOSTIC</vt:lpstr>
      <vt:lpstr>Bilan actions année N-1</vt:lpstr>
      <vt:lpstr>Trame accord ou plan d'actions</vt:lpstr>
      <vt:lpstr>coefbranche</vt:lpstr>
      <vt:lpstr>coefchoisi</vt:lpstr>
      <vt:lpstr>dref</vt:lpstr>
      <vt:lpstr>resuindic1</vt:lpstr>
      <vt:lpstr>Typecon</vt:lpstr>
      <vt:lpstr>ype</vt:lpstr>
      <vt:lpstr>'Bilan actions année N-1'!Zone_d_impression</vt:lpstr>
      <vt:lpstr>SOMMAIRE!Zone_d_impression</vt:lpstr>
      <vt:lpstr>'Trame accord ou plan d''actions'!Zone_d_impression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Outil_Diagnostic_Egalite_INDEX_21-12-20</dc:title>
  <dc:creator>Longieras, Marie</dc:creator>
  <cp:lastModifiedBy>Jean-François Marzloff</cp:lastModifiedBy>
  <cp:lastPrinted>2020-02-27T08:38:00Z</cp:lastPrinted>
  <dcterms:created xsi:type="dcterms:W3CDTF">2010-01-20T16:30:19Z</dcterms:created>
  <dcterms:modified xsi:type="dcterms:W3CDTF">2021-01-11T16:48:34Z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3372a7c623e4427b5e21cf6f237b28f">
    <vt:lpwstr>Département EDOM|4c4fe0b5-2d14-4470-9571-cfa3edef4fa5</vt:lpwstr>
  </property>
  <property fmtid="{D5CDD505-2E9C-101B-9397-08002B2CF9AE}" pid="3" name="Document de référence">
    <vt:lpwstr>Non</vt:lpwstr>
  </property>
  <property fmtid="{D5CDD505-2E9C-101B-9397-08002B2CF9AE}" pid="4" name="f85c5fa148c04ca6a7805ccda99a7af3">
    <vt:lpwstr>DIALOGUE SOCIAL|a1ab1d69-30b4-4c07-861c-a0b06fc13d09;Egalité professionnelle|d7147f0e-95e0-491e-a7fd-4686711cc62d</vt:lpwstr>
  </property>
  <property fmtid="{D5CDD505-2E9C-101B-9397-08002B2CF9AE}" pid="5" name="g8929b400e294aeeb187f56d1496251c">
    <vt:lpwstr>Processus production|c5592657-9f1c-49d8-b99e-6532a8be91ca</vt:lpwstr>
  </property>
  <property fmtid="{D5CDD505-2E9C-101B-9397-08002B2CF9AE}" pid="6" name="TaxCatchAll">
    <vt:lpwstr>244;#Processus production|c5592657-9f1c-49d8-b99e-6532a8be91ca;#110;#DIALOGUE SOCIAL|a1ab1d69-30b4-4c07-861c-a0b06fc13d09;#30;#Département EDOM|4c4fe0b5-2d14-4470-9571-cfa3edef4fa5;#91;#Egalité professionnelle|d7147f0e-95e0-491e-a7fd-4686711cc62d</vt:lpwstr>
  </property>
  <property fmtid="{D5CDD505-2E9C-101B-9397-08002B2CF9AE}" pid="7" name="TaxKeywordTaxHTField">
    <vt:lpwstr/>
  </property>
  <property fmtid="{D5CDD505-2E9C-101B-9397-08002B2CF9AE}" pid="8" name="TaxKeyword">
    <vt:lpwstr/>
  </property>
  <property fmtid="{D5CDD505-2E9C-101B-9397-08002B2CF9AE}" pid="9" name="Structure/Département">
    <vt:lpwstr>30;#Département EXPE|4c4fe0b5-2d14-4470-9571-cfa3edef4fa5</vt:lpwstr>
  </property>
  <property fmtid="{D5CDD505-2E9C-101B-9397-08002B2CF9AE}" pid="10" name="Procesus">
    <vt:lpwstr>244;#Processus production|c5592657-9f1c-49d8-b99e-6532a8be91ca</vt:lpwstr>
  </property>
  <property fmtid="{D5CDD505-2E9C-101B-9397-08002B2CF9AE}" pid="11" name="Thème">
    <vt:lpwstr>110;#DIALOGUE SOCIAL|a1ab1d69-30b4-4c07-861c-a0b06fc13d09;#91;#Egalité professionnelle|d7147f0e-95e0-491e-a7fd-4686711cc62d</vt:lpwstr>
  </property>
  <property fmtid="{D5CDD505-2E9C-101B-9397-08002B2CF9AE}" pid="12" name="ContentTypeId">
    <vt:lpwstr>0x0101003B434280B7F2C44A878EE940E3DA649C00261DF614F2E0DA4F9F8EFFC728D558B400882984E3F4BAFF45A5EB0C79278FF295</vt:lpwstr>
  </property>
</Properties>
</file>